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xml"/>
  <Override PartName="/xl/comments3.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https://skogforsk-my.sharepoint.com/personal/henrik_vonhofsten_skogforsk_se/Documents/Documents/ETTdemo/Angänsande HCTprojekt/NBnord/"/>
    </mc:Choice>
  </mc:AlternateContent>
  <xr:revisionPtr revIDLastSave="0" documentId="8_{F6693526-9556-4B6A-BEFF-E5CF8D8C1294}" xr6:coauthVersionLast="47" xr6:coauthVersionMax="47" xr10:uidLastSave="{00000000-0000-0000-0000-000000000000}"/>
  <bookViews>
    <workbookView xWindow="-110" yWindow="-110" windowWidth="19420" windowHeight="10420" tabRatio="801" activeTab="1" xr2:uid="{00000000-000D-0000-FFFF-FFFF00000000}"/>
  </bookViews>
  <sheets>
    <sheet name="Introduction" sheetId="4" r:id="rId1"/>
    <sheet name="A. Road; average distance" sheetId="1" r:id="rId2"/>
    <sheet name="B1. Road; distance distribution" sheetId="3" r:id="rId3"/>
    <sheet name="B2. Road; distance distribution" sheetId="2" r:id="rId4"/>
    <sheet name="C. Rail" sheetId="6" r:id="rId5"/>
    <sheet name="D. Shipping" sheetId="7"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0" i="1" l="1"/>
  <c r="C52" i="3"/>
  <c r="C134" i="1" l="1"/>
  <c r="C127" i="1" l="1"/>
  <c r="C116" i="1"/>
  <c r="B60" i="7" l="1"/>
  <c r="B36" i="7"/>
  <c r="B34" i="7"/>
  <c r="B41" i="7" s="1"/>
  <c r="B58" i="7" s="1"/>
  <c r="B26" i="7"/>
  <c r="B25" i="7"/>
  <c r="B12" i="7"/>
  <c r="B13" i="7" s="1"/>
  <c r="B16" i="7" s="1"/>
  <c r="B18" i="7" s="1"/>
  <c r="B35" i="7" l="1"/>
  <c r="B37" i="7"/>
  <c r="B38" i="7" l="1"/>
  <c r="B39" i="7" s="1"/>
  <c r="B57" i="7" s="1"/>
  <c r="B61" i="7" s="1"/>
  <c r="B62" i="7" s="1"/>
  <c r="B63" i="7" s="1"/>
  <c r="B65" i="7" s="1"/>
  <c r="B42" i="7"/>
  <c r="B59" i="7" s="1"/>
  <c r="B129" i="6" l="1"/>
  <c r="B128" i="6"/>
  <c r="B132" i="6" s="1"/>
  <c r="B126" i="6"/>
  <c r="B109" i="6"/>
  <c r="B69" i="6"/>
  <c r="B68" i="6"/>
  <c r="B70" i="6" s="1"/>
  <c r="B64" i="6"/>
  <c r="B63" i="6"/>
  <c r="B65" i="6" s="1"/>
  <c r="B59" i="6"/>
  <c r="B60" i="6" s="1"/>
  <c r="B72" i="6" s="1"/>
  <c r="B74" i="6" s="1"/>
  <c r="B99" i="6" s="1"/>
  <c r="B58" i="6"/>
  <c r="B54" i="6"/>
  <c r="B53" i="6"/>
  <c r="X42" i="6"/>
  <c r="X41" i="6"/>
  <c r="X40" i="6"/>
  <c r="H31" i="6"/>
  <c r="L42" i="6" s="1"/>
  <c r="H30" i="6"/>
  <c r="G30" i="6"/>
  <c r="G31" i="6" s="1"/>
  <c r="L41" i="6" s="1"/>
  <c r="F30" i="6"/>
  <c r="H28" i="6"/>
  <c r="G28" i="6"/>
  <c r="F28" i="6"/>
  <c r="L28" i="6" s="1"/>
  <c r="O26" i="6" s="1"/>
  <c r="L27" i="6"/>
  <c r="B102" i="6" s="1"/>
  <c r="B23" i="6"/>
  <c r="B22" i="6"/>
  <c r="B20" i="6"/>
  <c r="H29" i="6" s="1"/>
  <c r="B19" i="6"/>
  <c r="B18" i="6"/>
  <c r="B104" i="6" l="1"/>
  <c r="B111" i="6"/>
  <c r="H33" i="6"/>
  <c r="B134" i="6"/>
  <c r="B135" i="6" s="1"/>
  <c r="H32" i="6"/>
  <c r="H34" i="6"/>
  <c r="H35" i="6" s="1"/>
  <c r="K42" i="6"/>
  <c r="F31" i="6"/>
  <c r="L40" i="6" s="1"/>
  <c r="F29" i="6"/>
  <c r="G29" i="6"/>
  <c r="L29" i="6" l="1"/>
  <c r="O30" i="6" s="1"/>
  <c r="F32" i="6"/>
  <c r="F34" i="6"/>
  <c r="K40" i="6"/>
  <c r="F33" i="6"/>
  <c r="K41" i="6"/>
  <c r="G32" i="6"/>
  <c r="G34" i="6"/>
  <c r="G35" i="6" s="1"/>
  <c r="G33" i="6"/>
  <c r="L33" i="6" l="1"/>
  <c r="F35" i="6"/>
  <c r="L35" i="6" s="1"/>
  <c r="B87" i="6" s="1"/>
  <c r="B90" i="6" s="1"/>
  <c r="L34" i="6"/>
  <c r="B83" i="6" s="1"/>
  <c r="B85" i="6" s="1"/>
  <c r="L32" i="6"/>
  <c r="B78" i="6" l="1"/>
  <c r="B81" i="6" s="1"/>
  <c r="B92" i="6" s="1"/>
  <c r="B98" i="6" s="1"/>
  <c r="O33" i="6"/>
  <c r="B103" i="6" l="1"/>
  <c r="B100" i="6"/>
  <c r="B110" i="6"/>
  <c r="B105" i="6" l="1"/>
  <c r="B107" i="6" s="1"/>
  <c r="B112" i="6"/>
  <c r="B113" i="6" s="1"/>
  <c r="C128" i="1" l="1"/>
  <c r="C73" i="2"/>
  <c r="C116" i="3"/>
  <c r="C11" i="2"/>
  <c r="C42" i="3"/>
  <c r="C120" i="1"/>
  <c r="C31" i="3"/>
  <c r="C30" i="3"/>
  <c r="E10" i="2"/>
  <c r="F10" i="2"/>
  <c r="G10" i="2"/>
  <c r="D10" i="2"/>
  <c r="C118" i="3"/>
  <c r="C123" i="3" l="1"/>
  <c r="C130" i="3" s="1"/>
  <c r="C117" i="3" l="1"/>
  <c r="C99" i="1"/>
  <c r="C59" i="1"/>
  <c r="C44" i="1"/>
  <c r="C45" i="1"/>
  <c r="C16" i="1"/>
  <c r="C46" i="1" l="1"/>
  <c r="C27" i="3"/>
  <c r="C26" i="3"/>
  <c r="E44" i="2"/>
  <c r="F44" i="2"/>
  <c r="G44" i="2"/>
  <c r="E42" i="2"/>
  <c r="F42" i="2"/>
  <c r="G42" i="2"/>
  <c r="D44" i="2"/>
  <c r="D42" i="2"/>
  <c r="E32" i="2"/>
  <c r="F32" i="2"/>
  <c r="G32" i="2"/>
  <c r="E33" i="2"/>
  <c r="F33" i="2"/>
  <c r="G33" i="2"/>
  <c r="D33" i="2"/>
  <c r="D32" i="2"/>
  <c r="E27" i="2"/>
  <c r="F27" i="2"/>
  <c r="G27" i="2"/>
  <c r="E28" i="2"/>
  <c r="F28" i="2"/>
  <c r="G28" i="2"/>
  <c r="D28" i="2"/>
  <c r="D27" i="2"/>
  <c r="E22" i="2"/>
  <c r="F22" i="2"/>
  <c r="G22" i="2"/>
  <c r="E23" i="2"/>
  <c r="F23" i="2"/>
  <c r="G23" i="2"/>
  <c r="D23" i="2"/>
  <c r="D22" i="2"/>
  <c r="C104" i="1" l="1"/>
  <c r="C105" i="1"/>
  <c r="C114" i="1"/>
  <c r="C101" i="1"/>
  <c r="C33" i="1"/>
  <c r="C52" i="1" l="1"/>
  <c r="C53" i="1" s="1"/>
  <c r="C106" i="1" s="1"/>
  <c r="C57" i="1"/>
  <c r="C112" i="1"/>
  <c r="C32" i="1"/>
  <c r="C113" i="1"/>
  <c r="C111" i="1"/>
  <c r="C102" i="1"/>
  <c r="C103" i="1"/>
  <c r="C14" i="1"/>
  <c r="C31" i="1" s="1"/>
  <c r="C118" i="1"/>
  <c r="C121" i="1" s="1"/>
  <c r="C119" i="1"/>
  <c r="C107" i="1" l="1"/>
  <c r="C34" i="1"/>
  <c r="C54" i="1" s="1"/>
  <c r="C55" i="1" s="1"/>
  <c r="C47" i="1"/>
  <c r="C48" i="1"/>
  <c r="C49" i="1"/>
  <c r="C129" i="1" l="1"/>
  <c r="C122" i="1"/>
  <c r="C56" i="1"/>
  <c r="C51" i="1" s="1"/>
  <c r="E13" i="2" l="1"/>
  <c r="G13" i="2" l="1"/>
  <c r="G36" i="2" s="1"/>
  <c r="B5" i="2" l="1"/>
  <c r="G39" i="2"/>
  <c r="F39" i="2"/>
  <c r="E39" i="2"/>
  <c r="D39" i="2"/>
  <c r="C39" i="2"/>
  <c r="H16" i="2" l="1"/>
  <c r="C68" i="2" l="1"/>
  <c r="D48" i="2" l="1"/>
  <c r="E48" i="2"/>
  <c r="F48" i="2"/>
  <c r="G48" i="2"/>
  <c r="C17" i="2"/>
  <c r="C48" i="2"/>
  <c r="D17" i="2"/>
  <c r="E17" i="2"/>
  <c r="F17" i="2"/>
  <c r="G17" i="2"/>
  <c r="C108" i="3"/>
  <c r="C107" i="3"/>
  <c r="C106" i="3"/>
  <c r="C115" i="3"/>
  <c r="C114" i="3"/>
  <c r="C54" i="3"/>
  <c r="C104" i="3" l="1"/>
  <c r="H17" i="2"/>
  <c r="G68" i="2"/>
  <c r="F68" i="2"/>
  <c r="E68" i="2"/>
  <c r="D68" i="2"/>
  <c r="C55" i="3"/>
  <c r="C109" i="3" s="1"/>
  <c r="C105" i="3"/>
  <c r="D13" i="2"/>
  <c r="D36" i="2" s="1"/>
  <c r="E36" i="2"/>
  <c r="F13" i="2"/>
  <c r="F36" i="2" s="1"/>
  <c r="C13" i="2"/>
  <c r="C36" i="2" l="1"/>
  <c r="C14" i="2"/>
  <c r="C31" i="2"/>
  <c r="C110" i="3"/>
  <c r="G14" i="2"/>
  <c r="F14" i="2"/>
  <c r="D14" i="2"/>
  <c r="E14" i="2"/>
  <c r="C24" i="2" l="1"/>
  <c r="G24" i="2"/>
  <c r="E24" i="2"/>
  <c r="F24" i="2"/>
  <c r="D24" i="2"/>
  <c r="C76" i="2"/>
  <c r="E49" i="2"/>
  <c r="E76" i="2"/>
  <c r="C49" i="2"/>
  <c r="F49" i="2"/>
  <c r="F76" i="2"/>
  <c r="G49" i="2"/>
  <c r="G76" i="2"/>
  <c r="D49" i="2"/>
  <c r="D76" i="2"/>
  <c r="C115" i="1" l="1"/>
  <c r="C130" i="1" s="1"/>
  <c r="C142" i="1" l="1"/>
  <c r="C131" i="1"/>
  <c r="C139" i="1" l="1"/>
  <c r="C140" i="1"/>
  <c r="C138" i="1"/>
  <c r="C137" i="1"/>
  <c r="C136" i="1"/>
  <c r="C135" i="1"/>
  <c r="D31" i="2" l="1"/>
  <c r="E31" i="2"/>
  <c r="F31" i="2"/>
  <c r="G31" i="2" l="1"/>
  <c r="D73" i="2" l="1"/>
  <c r="F73" i="2"/>
  <c r="E73" i="2"/>
  <c r="G73" i="2"/>
  <c r="C37" i="2" l="1"/>
  <c r="C15" i="3"/>
  <c r="G11" i="2"/>
  <c r="G52" i="2" l="1"/>
  <c r="G35" i="2"/>
  <c r="E37" i="2"/>
  <c r="E11" i="2"/>
  <c r="G37" i="2"/>
  <c r="C52" i="2"/>
  <c r="C35" i="2"/>
  <c r="D37" i="2" l="1"/>
  <c r="D11" i="2"/>
  <c r="F11" i="2"/>
  <c r="F37" i="2"/>
  <c r="G38" i="2"/>
  <c r="G51" i="2"/>
  <c r="E52" i="2"/>
  <c r="E35" i="2"/>
  <c r="C38" i="2"/>
  <c r="C51" i="2"/>
  <c r="D52" i="2" l="1"/>
  <c r="D35" i="2"/>
  <c r="F52" i="2"/>
  <c r="F35" i="2"/>
  <c r="G18" i="2"/>
  <c r="G50" i="2"/>
  <c r="C50" i="2"/>
  <c r="C18" i="2"/>
  <c r="E51" i="2"/>
  <c r="E38" i="2"/>
  <c r="C53" i="2" l="1"/>
  <c r="C54" i="2" s="1"/>
  <c r="F51" i="2"/>
  <c r="F38" i="2"/>
  <c r="G63" i="2"/>
  <c r="G80" i="2"/>
  <c r="G55" i="2"/>
  <c r="G58" i="2"/>
  <c r="G61" i="2"/>
  <c r="G67" i="2"/>
  <c r="G60" i="2"/>
  <c r="G59" i="2"/>
  <c r="G64" i="2"/>
  <c r="G62" i="2"/>
  <c r="G53" i="2"/>
  <c r="G54" i="2" s="1"/>
  <c r="E50" i="2"/>
  <c r="E18" i="2"/>
  <c r="C55" i="2"/>
  <c r="C60" i="2"/>
  <c r="C64" i="2"/>
  <c r="C63" i="2"/>
  <c r="C80" i="2"/>
  <c r="C61" i="2"/>
  <c r="C58" i="2"/>
  <c r="C67" i="2"/>
  <c r="C59" i="2"/>
  <c r="C62" i="2"/>
  <c r="D38" i="2"/>
  <c r="D51" i="2"/>
  <c r="E53" i="2" l="1"/>
  <c r="E54" i="2" s="1"/>
  <c r="D50" i="2"/>
  <c r="D18" i="2"/>
  <c r="G75" i="2"/>
  <c r="C75" i="2"/>
  <c r="C56" i="2"/>
  <c r="C57" i="2"/>
  <c r="G56" i="2"/>
  <c r="G57" i="2"/>
  <c r="E55" i="2"/>
  <c r="E61" i="2"/>
  <c r="E63" i="2"/>
  <c r="E80" i="2"/>
  <c r="E67" i="2"/>
  <c r="E58" i="2"/>
  <c r="E60" i="2"/>
  <c r="E64" i="2"/>
  <c r="E59" i="2"/>
  <c r="E62" i="2"/>
  <c r="F18" i="2"/>
  <c r="F50" i="2"/>
  <c r="F80" i="2" l="1"/>
  <c r="F63" i="2"/>
  <c r="F61" i="2"/>
  <c r="F67" i="2"/>
  <c r="F58" i="2"/>
  <c r="F55" i="2"/>
  <c r="F60" i="2"/>
  <c r="F64" i="2"/>
  <c r="F59" i="2"/>
  <c r="F62" i="2"/>
  <c r="G100" i="2"/>
  <c r="G19" i="2"/>
  <c r="E75" i="2"/>
  <c r="C19" i="2"/>
  <c r="C100" i="2"/>
  <c r="D80" i="2"/>
  <c r="D55" i="2"/>
  <c r="D58" i="2"/>
  <c r="D67" i="2"/>
  <c r="D63" i="2"/>
  <c r="D61" i="2"/>
  <c r="D60" i="2"/>
  <c r="D59" i="2"/>
  <c r="D64" i="2"/>
  <c r="D62" i="2"/>
  <c r="H18" i="2"/>
  <c r="D53" i="2"/>
  <c r="F53" i="2"/>
  <c r="F54" i="2" s="1"/>
  <c r="E57" i="2"/>
  <c r="E56" i="2"/>
  <c r="L62" i="2" l="1"/>
  <c r="F57" i="2"/>
  <c r="F56" i="2"/>
  <c r="L61" i="2"/>
  <c r="C41" i="3"/>
  <c r="C122" i="3" s="1"/>
  <c r="L63" i="2"/>
  <c r="L58" i="2"/>
  <c r="D57" i="2"/>
  <c r="D56" i="2"/>
  <c r="J55" i="2"/>
  <c r="J50" i="2" s="1"/>
  <c r="D54" i="2"/>
  <c r="J54" i="2" s="1"/>
  <c r="J53" i="2"/>
  <c r="C66" i="2"/>
  <c r="E66" i="2"/>
  <c r="D66" i="2"/>
  <c r="F66" i="2"/>
  <c r="G66" i="2"/>
  <c r="H34" i="2"/>
  <c r="C32" i="3" s="1"/>
  <c r="L64" i="2"/>
  <c r="L59" i="2"/>
  <c r="C39" i="3" s="1"/>
  <c r="L60" i="2"/>
  <c r="C40" i="3" s="1"/>
  <c r="F75" i="2"/>
  <c r="E100" i="2"/>
  <c r="E19" i="2"/>
  <c r="D75" i="2"/>
  <c r="J63" i="2" l="1"/>
  <c r="C34" i="3" s="1"/>
  <c r="J61" i="2"/>
  <c r="C17" i="3" s="1"/>
  <c r="J48" i="2"/>
  <c r="C14" i="3" s="1"/>
  <c r="J58" i="2"/>
  <c r="J60" i="2"/>
  <c r="F100" i="2"/>
  <c r="F19" i="2"/>
  <c r="J59" i="2"/>
  <c r="J62" i="2"/>
  <c r="C33" i="3" s="1"/>
  <c r="J64" i="2"/>
  <c r="C35" i="3" s="1"/>
  <c r="D100" i="2"/>
  <c r="H100" i="2" s="1"/>
  <c r="D19" i="2"/>
  <c r="J56" i="2"/>
  <c r="J49" i="2"/>
  <c r="J57" i="2"/>
  <c r="C25" i="3" s="1"/>
  <c r="J52" i="2"/>
  <c r="C121" i="3" l="1"/>
  <c r="C124" i="3" s="1"/>
  <c r="H19" i="2"/>
  <c r="C36" i="3"/>
  <c r="C56" i="3" s="1"/>
  <c r="C132" i="3" s="1"/>
  <c r="K48" i="2"/>
  <c r="C47" i="3"/>
  <c r="C18" i="3"/>
  <c r="C16" i="3"/>
  <c r="C21" i="3"/>
  <c r="C22" i="3"/>
  <c r="C23" i="3"/>
  <c r="C125" i="3" l="1"/>
  <c r="C131" i="3" s="1"/>
  <c r="C51" i="3"/>
  <c r="C49" i="3"/>
  <c r="C48" i="3"/>
  <c r="C58" i="3"/>
  <c r="C50" i="3"/>
  <c r="J51" i="2" s="1"/>
  <c r="C59" i="3"/>
  <c r="D125" i="3"/>
  <c r="D19" i="3"/>
  <c r="C69" i="2" s="1"/>
  <c r="C57" i="3"/>
  <c r="G70" i="2" l="1"/>
  <c r="G74" i="2" s="1"/>
  <c r="F70" i="2"/>
  <c r="F74" i="2" s="1"/>
  <c r="E70" i="2"/>
  <c r="E74" i="2" s="1"/>
  <c r="D70" i="2"/>
  <c r="D74" i="2" s="1"/>
  <c r="C70" i="2"/>
  <c r="C74" i="2" s="1"/>
  <c r="C133" i="3"/>
  <c r="C137" i="3" s="1"/>
  <c r="C138" i="3" s="1"/>
  <c r="C53" i="3"/>
  <c r="K52" i="2" s="1"/>
  <c r="E69" i="2"/>
  <c r="D69" i="2"/>
  <c r="G69" i="2"/>
  <c r="F69" i="2"/>
  <c r="F71" i="2" s="1"/>
  <c r="F81" i="2" s="1"/>
  <c r="E71" i="2" l="1"/>
  <c r="E81" i="2" s="1"/>
  <c r="E85" i="2" s="1"/>
  <c r="G71" i="2"/>
  <c r="G81" i="2" s="1"/>
  <c r="G84" i="2" s="1"/>
  <c r="D71" i="2"/>
  <c r="D81" i="2" s="1"/>
  <c r="D86" i="2" s="1"/>
  <c r="E77" i="2"/>
  <c r="G77" i="2"/>
  <c r="F77" i="2"/>
  <c r="D77" i="2"/>
  <c r="C77" i="2"/>
  <c r="C71" i="2"/>
  <c r="C81" i="2" s="1"/>
  <c r="C143" i="3"/>
  <c r="C140" i="3"/>
  <c r="C141" i="3"/>
  <c r="C142" i="3"/>
  <c r="C139" i="3"/>
  <c r="G82" i="2"/>
  <c r="G87" i="2"/>
  <c r="G85" i="2"/>
  <c r="G86" i="2"/>
  <c r="F83" i="2"/>
  <c r="F91" i="2" s="1"/>
  <c r="F92" i="2" s="1"/>
  <c r="F94" i="2" s="1"/>
  <c r="F95" i="2" s="1"/>
  <c r="F87" i="2"/>
  <c r="F86" i="2"/>
  <c r="F82" i="2"/>
  <c r="F84" i="2"/>
  <c r="F85" i="2"/>
  <c r="D83" i="2" l="1"/>
  <c r="D91" i="2" s="1"/>
  <c r="D92" i="2" s="1"/>
  <c r="D94" i="2" s="1"/>
  <c r="D95" i="2" s="1"/>
  <c r="D84" i="2"/>
  <c r="E86" i="2"/>
  <c r="E82" i="2"/>
  <c r="E84" i="2"/>
  <c r="E87" i="2"/>
  <c r="E83" i="2"/>
  <c r="E91" i="2" s="1"/>
  <c r="E92" i="2" s="1"/>
  <c r="E94" i="2" s="1"/>
  <c r="E95" i="2" s="1"/>
  <c r="D82" i="2"/>
  <c r="D87" i="2"/>
  <c r="D85" i="2"/>
  <c r="G83" i="2"/>
  <c r="G91" i="2" s="1"/>
  <c r="G92" i="2" s="1"/>
  <c r="G94" i="2" s="1"/>
  <c r="G95" i="2" s="1"/>
  <c r="C87" i="2"/>
  <c r="H87" i="2" s="1"/>
  <c r="H101" i="2" s="1"/>
  <c r="H102" i="2" s="1"/>
  <c r="C86" i="2"/>
  <c r="C84" i="2"/>
  <c r="C85" i="2"/>
  <c r="C82" i="2"/>
  <c r="C83" i="2"/>
  <c r="C91" i="2" s="1"/>
  <c r="C92" i="2" s="1"/>
  <c r="C94" i="2" s="1"/>
  <c r="C96" i="2" l="1"/>
  <c r="H103" i="2"/>
  <c r="H35" i="3" s="1"/>
  <c r="H34" i="3"/>
  <c r="C9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Väätäinen Kari</author>
    <author>Väätäinen Kari (LUKE)</author>
  </authors>
  <commentList>
    <comment ref="B10" authorId="0" shapeId="0" xr:uid="{00000000-0006-0000-0100-000001000000}">
      <text>
        <r>
          <rPr>
            <b/>
            <sz val="9"/>
            <color indexed="81"/>
            <rFont val="Tahoma"/>
            <family val="2"/>
          </rPr>
          <t>Väätäinen Kari:</t>
        </r>
        <r>
          <rPr>
            <sz val="9"/>
            <color indexed="81"/>
            <rFont val="Tahoma"/>
            <family val="2"/>
          </rPr>
          <t xml:space="preserve">
Payload is average payload from all loads, thereby value remains smaller that max. payload. Fresh weight density, log dimensions and accumilated snow during winter affects to payload. The weight of self loader varies 3,000 - 4,000 kg. For example, if self loader is attached in half of deliveries, half weight of loader should take away from the payload.</t>
        </r>
      </text>
    </comment>
    <comment ref="B12" authorId="0" shapeId="0" xr:uid="{00000000-0006-0000-0100-000002000000}">
      <text>
        <r>
          <rPr>
            <b/>
            <sz val="9"/>
            <color indexed="81"/>
            <rFont val="Tahoma"/>
            <family val="2"/>
          </rPr>
          <t>Väätäinen Kari:</t>
        </r>
        <r>
          <rPr>
            <sz val="9"/>
            <color indexed="81"/>
            <rFont val="Tahoma"/>
            <family val="2"/>
          </rPr>
          <t xml:space="preserve">
Distance from the first loading location to the delivery place
</t>
        </r>
      </text>
    </comment>
    <comment ref="B13" authorId="0" shapeId="0" xr:uid="{00000000-0006-0000-0100-000003000000}">
      <text>
        <r>
          <rPr>
            <b/>
            <sz val="9"/>
            <color indexed="81"/>
            <rFont val="Tahoma"/>
            <family val="2"/>
          </rPr>
          <t>Väätäinen Kari:</t>
        </r>
        <r>
          <rPr>
            <sz val="9"/>
            <color indexed="81"/>
            <rFont val="Tahoma"/>
            <family val="2"/>
          </rPr>
          <t xml:space="preserve">
Average driving between road side landings (i.e. decks) to fill the load space
</t>
        </r>
      </text>
    </comment>
    <comment ref="B14" authorId="0" shapeId="0" xr:uid="{00000000-0006-0000-0100-000004000000}">
      <text>
        <r>
          <rPr>
            <b/>
            <sz val="9"/>
            <color indexed="81"/>
            <rFont val="Tahoma"/>
            <family val="2"/>
          </rPr>
          <t>Väätäinen Kari:</t>
        </r>
        <r>
          <rPr>
            <sz val="9"/>
            <color indexed="81"/>
            <rFont val="Tahoma"/>
            <family val="2"/>
          </rPr>
          <t xml:space="preserve">
Distance from the last loading place to delivery place</t>
        </r>
      </text>
    </comment>
    <comment ref="B15" authorId="0" shapeId="0" xr:uid="{00000000-0006-0000-0100-000005000000}">
      <text>
        <r>
          <rPr>
            <b/>
            <sz val="9"/>
            <color indexed="81"/>
            <rFont val="Tahoma"/>
            <family val="2"/>
          </rPr>
          <t>Väätäinen Kari:</t>
        </r>
        <r>
          <rPr>
            <sz val="9"/>
            <color indexed="81"/>
            <rFont val="Tahoma"/>
            <family val="2"/>
          </rPr>
          <t xml:space="preserve">
The more the backhauling opportunities are, the lower is the unloading distance compared to transport distance. Backhauling is more likely in longer distances.</t>
        </r>
      </text>
    </comment>
    <comment ref="B17" authorId="0" shapeId="0" xr:uid="{00000000-0006-0000-0100-000006000000}">
      <text>
        <r>
          <rPr>
            <b/>
            <sz val="9"/>
            <color indexed="81"/>
            <rFont val="Tahoma"/>
            <family val="2"/>
          </rPr>
          <t>Väätäinen Kari:</t>
        </r>
        <r>
          <rPr>
            <sz val="9"/>
            <color indexed="81"/>
            <rFont val="Tahoma"/>
            <family val="2"/>
          </rPr>
          <t xml:space="preserve">
Drivings excluded from normal load cycles; (drivings to repair, washing, inspection, garage etc.) </t>
        </r>
      </text>
    </comment>
    <comment ref="B22" authorId="0" shapeId="0" xr:uid="{00000000-0006-0000-0100-000007000000}">
      <text>
        <r>
          <rPr>
            <b/>
            <sz val="9"/>
            <color indexed="81"/>
            <rFont val="Tahoma"/>
            <family val="2"/>
          </rPr>
          <t>Väätäinen Kari:</t>
        </r>
        <r>
          <rPr>
            <sz val="9"/>
            <color indexed="81"/>
            <rFont val="Tahoma"/>
            <family val="2"/>
          </rPr>
          <t xml:space="preserve">
Define average speeds for road classes. Note that the shorter the distances are, smaller speed values should be used. Elevation and road conditions etc. Have also an impact.</t>
        </r>
      </text>
    </comment>
    <comment ref="B26" authorId="0" shapeId="0" xr:uid="{00000000-0006-0000-0100-000008000000}">
      <text>
        <r>
          <rPr>
            <b/>
            <sz val="9"/>
            <color indexed="81"/>
            <rFont val="Tahoma"/>
            <family val="2"/>
          </rPr>
          <t>Väätäinen Kari:</t>
        </r>
        <r>
          <rPr>
            <sz val="9"/>
            <color indexed="81"/>
            <rFont val="Tahoma"/>
            <family val="2"/>
          </rPr>
          <t xml:space="preserve">
Define correction factor for driving unloaded. If it is 1, the speeds for driving loaded and unloaded is equal.</t>
        </r>
      </text>
    </comment>
    <comment ref="B28" authorId="0" shapeId="0" xr:uid="{00000000-0006-0000-0100-000009000000}">
      <text>
        <r>
          <rPr>
            <b/>
            <sz val="9"/>
            <color indexed="81"/>
            <rFont val="Tahoma"/>
            <family val="2"/>
          </rPr>
          <t>Väätäinen Kari:</t>
        </r>
        <r>
          <rPr>
            <sz val="9"/>
            <color indexed="81"/>
            <rFont val="Tahoma"/>
            <family val="2"/>
          </rPr>
          <t xml:space="preserve">
Time of timber loading added by additional work associated with loading. Shorter logs and small deck volumes may increase loading time</t>
        </r>
      </text>
    </comment>
    <comment ref="B29" authorId="0" shapeId="0" xr:uid="{00000000-0006-0000-0100-00000A000000}">
      <text>
        <r>
          <rPr>
            <b/>
            <sz val="9"/>
            <color indexed="81"/>
            <rFont val="Tahoma"/>
            <family val="2"/>
          </rPr>
          <t>Väätäinen Kari:</t>
        </r>
        <r>
          <rPr>
            <sz val="9"/>
            <color indexed="81"/>
            <rFont val="Tahoma"/>
            <family val="2"/>
          </rPr>
          <t xml:space="preserve">
Time duration of timber unloading in delivery place. Includes additional work associated with unloading</t>
        </r>
      </text>
    </comment>
    <comment ref="B30" authorId="0" shapeId="0" xr:uid="{00000000-0006-0000-0100-00000B000000}">
      <text>
        <r>
          <rPr>
            <b/>
            <sz val="9"/>
            <color indexed="81"/>
            <rFont val="Tahoma"/>
            <family val="2"/>
          </rPr>
          <t>Väätäinen Kari:</t>
        </r>
        <r>
          <rPr>
            <sz val="9"/>
            <color indexed="81"/>
            <rFont val="Tahoma"/>
            <family val="2"/>
          </rPr>
          <t xml:space="preserve">
This includes breaks (lunch, coffee), fuelling, waitings (e.g. for unloading), scaling at timber delivery etc. Note, that Other time shoud include rest times according to the EU based regulation of rest and driving times. </t>
        </r>
      </text>
    </comment>
    <comment ref="B31" authorId="0" shapeId="0" xr:uid="{00000000-0006-0000-0100-00000C000000}">
      <text>
        <r>
          <rPr>
            <b/>
            <sz val="9"/>
            <color indexed="81"/>
            <rFont val="Tahoma"/>
            <family val="2"/>
          </rPr>
          <t>Väätäinen Kari:</t>
        </r>
        <r>
          <rPr>
            <sz val="9"/>
            <color indexed="81"/>
            <rFont val="Tahoma"/>
            <family val="2"/>
          </rPr>
          <t xml:space="preserve">
Calculated by the distances of each road classes and their average speeds
</t>
        </r>
      </text>
    </comment>
    <comment ref="B32" authorId="0" shapeId="0" xr:uid="{00000000-0006-0000-0100-00000D000000}">
      <text>
        <r>
          <rPr>
            <b/>
            <sz val="9"/>
            <color indexed="81"/>
            <rFont val="Tahoma"/>
            <family val="2"/>
          </rPr>
          <t>Väätäinen Kari:</t>
        </r>
        <r>
          <rPr>
            <sz val="9"/>
            <color indexed="81"/>
            <rFont val="Tahoma"/>
            <family val="2"/>
          </rPr>
          <t xml:space="preserve">
Calculated by the distances of each road classes and their average speeds</t>
        </r>
      </text>
    </comment>
    <comment ref="B33" authorId="0" shapeId="0" xr:uid="{00000000-0006-0000-0100-00000E000000}">
      <text>
        <r>
          <rPr>
            <b/>
            <sz val="9"/>
            <color indexed="81"/>
            <rFont val="Tahoma"/>
            <family val="2"/>
          </rPr>
          <t>Väätäinen Kari:</t>
        </r>
        <r>
          <rPr>
            <sz val="9"/>
            <color indexed="81"/>
            <rFont val="Tahoma"/>
            <family val="2"/>
          </rPr>
          <t xml:space="preserve">
If load is not full after loading and another timber loading will occur during the transport cycle, driving between decks occurs.</t>
        </r>
      </text>
    </comment>
    <comment ref="B35" authorId="0" shapeId="0" xr:uid="{00000000-0006-0000-0100-00000F000000}">
      <text>
        <r>
          <rPr>
            <b/>
            <sz val="9"/>
            <color indexed="81"/>
            <rFont val="Tahoma"/>
            <family val="2"/>
          </rPr>
          <t>Väätäinen Kari:</t>
        </r>
        <r>
          <rPr>
            <sz val="9"/>
            <color indexed="81"/>
            <rFont val="Tahoma"/>
            <family val="2"/>
          </rPr>
          <t xml:space="preserve">
time, which is occurring seldom such as truck repair and service etc. Time will be added to operating hours to count working hours of driver</t>
        </r>
      </text>
    </comment>
    <comment ref="B42" authorId="0" shapeId="0" xr:uid="{00000000-0006-0000-0100-000010000000}">
      <text>
        <r>
          <rPr>
            <b/>
            <sz val="9"/>
            <color indexed="81"/>
            <rFont val="Tahoma"/>
            <family val="2"/>
          </rPr>
          <t>Väätäinen Kari:</t>
        </r>
        <r>
          <rPr>
            <sz val="9"/>
            <color indexed="81"/>
            <rFont val="Tahoma"/>
            <family val="2"/>
          </rPr>
          <t xml:space="preserve">
Normal working time. Operating hours are directly linked to timber trucking cycles. </t>
        </r>
      </text>
    </comment>
    <comment ref="B59" authorId="0" shapeId="0" xr:uid="{00000000-0006-0000-0100-000011000000}">
      <text>
        <r>
          <rPr>
            <b/>
            <sz val="9"/>
            <color indexed="81"/>
            <rFont val="Tahoma"/>
            <family val="2"/>
          </rPr>
          <t>Väätäinen Kari:</t>
        </r>
        <r>
          <rPr>
            <sz val="9"/>
            <color indexed="81"/>
            <rFont val="Tahoma"/>
            <family val="2"/>
          </rPr>
          <t xml:space="preserve">
All cost values must be without value added tax</t>
        </r>
      </text>
    </comment>
    <comment ref="B60" authorId="0" shapeId="0" xr:uid="{00000000-0006-0000-0100-000012000000}">
      <text>
        <r>
          <rPr>
            <b/>
            <sz val="9"/>
            <color indexed="81"/>
            <rFont val="Tahoma"/>
            <family val="2"/>
          </rPr>
          <t>Väätäinen Kari:</t>
        </r>
        <r>
          <rPr>
            <sz val="9"/>
            <color indexed="81"/>
            <rFont val="Tahoma"/>
            <family val="2"/>
          </rPr>
          <t xml:space="preserve">
Option1: Price of tires included in purchase prices of truck and trailer, and later on, tire costs are presented as fixed value in €/km
Option 2: Price of tires excluded from purchase prices of truck and trailer, and later on, tire costs are calculated by the Finnish method</t>
        </r>
      </text>
    </comment>
    <comment ref="B67" authorId="0" shapeId="0" xr:uid="{00000000-0006-0000-0100-000013000000}">
      <text>
        <r>
          <rPr>
            <b/>
            <sz val="9"/>
            <color indexed="81"/>
            <rFont val="Tahoma"/>
            <family val="2"/>
          </rPr>
          <t>Väätäinen Kari:</t>
        </r>
        <r>
          <rPr>
            <sz val="9"/>
            <color indexed="81"/>
            <rFont val="Tahoma"/>
            <family val="2"/>
          </rPr>
          <t xml:space="preserve">
Take into account the use of loader; if loader is not used or has a low use during unloading, increase the value upon your case of interest.Usually 5000 loads is typical to use in here. Maybe 6,000, if unloading by crane is minimal.</t>
        </r>
      </text>
    </comment>
    <comment ref="B73" authorId="0" shapeId="0" xr:uid="{00000000-0006-0000-0100-000014000000}">
      <text>
        <r>
          <rPr>
            <b/>
            <sz val="9"/>
            <color indexed="81"/>
            <rFont val="Tahoma"/>
            <family val="2"/>
          </rPr>
          <t>Väätäinen Kari:</t>
        </r>
        <r>
          <rPr>
            <sz val="9"/>
            <color indexed="81"/>
            <rFont val="Tahoma"/>
            <family val="2"/>
          </rPr>
          <t xml:space="preserve">
Option1: Price of tires included in purchase prices of truck and trailer, and here, tire costs are presented as fixed value in €/km
</t>
        </r>
      </text>
    </comment>
    <comment ref="B74" authorId="0" shapeId="0" xr:uid="{00000000-0006-0000-0100-000015000000}">
      <text>
        <r>
          <rPr>
            <b/>
            <sz val="9"/>
            <color indexed="81"/>
            <rFont val="Tahoma"/>
            <family val="2"/>
          </rPr>
          <t>Väätäinen Kari:</t>
        </r>
        <r>
          <rPr>
            <sz val="9"/>
            <color indexed="81"/>
            <rFont val="Tahoma"/>
            <family val="2"/>
          </rPr>
          <t xml:space="preserve">
Option 2: Price of tires are excluded from purchase prices of truck and trailer, and here, tire costs are calculated by the Finnish method</t>
        </r>
      </text>
    </comment>
    <comment ref="B85" authorId="0" shapeId="0" xr:uid="{00000000-0006-0000-0100-000016000000}">
      <text>
        <r>
          <rPr>
            <b/>
            <sz val="9"/>
            <color indexed="81"/>
            <rFont val="Tahoma"/>
            <family val="2"/>
          </rPr>
          <t>Väätäinen Kari:</t>
        </r>
        <r>
          <rPr>
            <sz val="9"/>
            <color indexed="81"/>
            <rFont val="Tahoma"/>
            <family val="2"/>
          </rPr>
          <t xml:space="preserve">
Remember to check that price excludes value added tax</t>
        </r>
      </text>
    </comment>
    <comment ref="B88" authorId="0" shapeId="0" xr:uid="{00000000-0006-0000-0100-000017000000}">
      <text>
        <r>
          <rPr>
            <b/>
            <sz val="9"/>
            <color indexed="81"/>
            <rFont val="Tahoma"/>
            <family val="2"/>
          </rPr>
          <t>Väätäinen Kari:</t>
        </r>
        <r>
          <rPr>
            <sz val="9"/>
            <color indexed="81"/>
            <rFont val="Tahoma"/>
            <family val="2"/>
          </rPr>
          <t xml:space="preserve">
Option1: Define the annual repair and service costs</t>
        </r>
      </text>
    </comment>
    <comment ref="B89" authorId="0" shapeId="0" xr:uid="{00000000-0006-0000-0100-000018000000}">
      <text>
        <r>
          <rPr>
            <b/>
            <sz val="9"/>
            <color indexed="81"/>
            <rFont val="Tahoma"/>
            <family val="2"/>
          </rPr>
          <t>Väätäinen Kari:</t>
        </r>
        <r>
          <rPr>
            <sz val="9"/>
            <color indexed="81"/>
            <rFont val="Tahoma"/>
            <family val="2"/>
          </rPr>
          <t xml:space="preserve">
Option 2: Define kilometer based repair and service costs for truck and trailer. Add costs of self-loader, if not separated in h2b</t>
        </r>
      </text>
    </comment>
    <comment ref="B90" authorId="0" shapeId="0" xr:uid="{00000000-0006-0000-0100-000019000000}">
      <text>
        <r>
          <rPr>
            <b/>
            <sz val="9"/>
            <color indexed="81"/>
            <rFont val="Tahoma"/>
            <family val="2"/>
          </rPr>
          <t>Väätäinen Kari:</t>
        </r>
        <r>
          <rPr>
            <sz val="9"/>
            <color indexed="81"/>
            <rFont val="Tahoma"/>
            <family val="2"/>
          </rPr>
          <t xml:space="preserve">
Option 2: Define load specific repair and service costs for the self loader (€/load), if it is not included in h2a</t>
        </r>
      </text>
    </comment>
    <comment ref="B91" authorId="0" shapeId="0" xr:uid="{00000000-0006-0000-0100-00001A000000}">
      <text>
        <r>
          <rPr>
            <b/>
            <sz val="9"/>
            <color indexed="81"/>
            <rFont val="Tahoma"/>
            <family val="2"/>
          </rPr>
          <t>Väätäinen Kari:</t>
        </r>
        <r>
          <rPr>
            <sz val="9"/>
            <color indexed="81"/>
            <rFont val="Tahoma"/>
            <family val="2"/>
          </rPr>
          <t xml:space="preserve">
Add tire coating cost if you use separate tire cost calculation (Case Finland)</t>
        </r>
      </text>
    </comment>
    <comment ref="B93" authorId="0" shapeId="0" xr:uid="{00000000-0006-0000-0100-00001B000000}">
      <text>
        <r>
          <rPr>
            <b/>
            <sz val="9"/>
            <color indexed="81"/>
            <rFont val="Tahoma"/>
            <family val="2"/>
          </rPr>
          <t>Väätäinen Kari:</t>
        </r>
        <r>
          <rPr>
            <sz val="9"/>
            <color indexed="81"/>
            <rFont val="Tahoma"/>
            <family val="2"/>
          </rPr>
          <t xml:space="preserve">
Insert full wage cost including all indirect costs, or separate them to direct and indirect costs. If overtime hours is used, you can calculate average wage cost with the aid of sheet "Wages and daily allowances" and use the calculated value</t>
        </r>
      </text>
    </comment>
    <comment ref="B95" authorId="0" shapeId="0" xr:uid="{00000000-0006-0000-0100-00001C000000}">
      <text>
        <r>
          <rPr>
            <b/>
            <sz val="9"/>
            <color indexed="81"/>
            <rFont val="Tahoma"/>
            <family val="2"/>
          </rPr>
          <t>Väätäinen Kari:</t>
        </r>
        <r>
          <rPr>
            <sz val="9"/>
            <color indexed="81"/>
            <rFont val="Tahoma"/>
            <family val="2"/>
          </rPr>
          <t xml:space="preserve">
If required, you can add costs of allowances here. By calculating the value, you can make it in the sheet "Wages and daily allowances"</t>
        </r>
      </text>
    </comment>
    <comment ref="B96" authorId="0" shapeId="0" xr:uid="{00000000-0006-0000-0100-00001D000000}">
      <text>
        <r>
          <rPr>
            <b/>
            <sz val="9"/>
            <color indexed="81"/>
            <rFont val="Tahoma"/>
            <family val="2"/>
          </rPr>
          <t>Väätäinen Kari:</t>
        </r>
        <r>
          <rPr>
            <sz val="9"/>
            <color indexed="81"/>
            <rFont val="Tahoma"/>
            <family val="2"/>
          </rPr>
          <t xml:space="preserve">
Make an estimation of expected profit margin in your cost calculations</t>
        </r>
      </text>
    </comment>
    <comment ref="B116" authorId="1" shapeId="0" xr:uid="{26A8355F-FFEC-4FCD-B11F-DF0317084B38}">
      <text>
        <r>
          <rPr>
            <b/>
            <sz val="9"/>
            <color indexed="81"/>
            <rFont val="Tahoma"/>
            <charset val="1"/>
          </rPr>
          <t>Väätäinen Kari (LUKE):</t>
        </r>
        <r>
          <rPr>
            <sz val="9"/>
            <color indexed="81"/>
            <rFont val="Tahoma"/>
            <charset val="1"/>
          </rPr>
          <t xml:space="preserve">
If not included in previous indicator, add repair and service cost for loader here</t>
        </r>
      </text>
    </comment>
    <comment ref="B117" authorId="0" shapeId="0" xr:uid="{00000000-0006-0000-0100-00001E000000}">
      <text>
        <r>
          <rPr>
            <b/>
            <sz val="9"/>
            <color indexed="81"/>
            <rFont val="Tahoma"/>
            <family val="2"/>
          </rPr>
          <t>Väätäinen Kari:</t>
        </r>
        <r>
          <rPr>
            <sz val="9"/>
            <color indexed="81"/>
            <rFont val="Tahoma"/>
            <family val="2"/>
          </rPr>
          <t xml:space="preserve">
Cost of AdBlue is added to drivings not loading</t>
        </r>
      </text>
    </comment>
    <comment ref="B133" authorId="1" shapeId="0" xr:uid="{B34674ED-E3EB-4A84-BCBC-11224B96A3BD}">
      <text>
        <r>
          <rPr>
            <b/>
            <sz val="9"/>
            <color indexed="81"/>
            <rFont val="Tahoma"/>
            <family val="2"/>
          </rPr>
          <t>Väätäinen Kari (LUKE):</t>
        </r>
        <r>
          <rPr>
            <sz val="9"/>
            <color indexed="81"/>
            <rFont val="Tahoma"/>
            <family val="2"/>
          </rPr>
          <t xml:space="preserve">
Costs include profit-margin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Väätäinen Kari</author>
    <author>Väätäinen Kari (LUKE)</author>
  </authors>
  <commentList>
    <comment ref="B12" authorId="0" shapeId="0" xr:uid="{00000000-0006-0000-0200-000001000000}">
      <text>
        <r>
          <rPr>
            <b/>
            <sz val="9"/>
            <color indexed="81"/>
            <rFont val="Tahoma"/>
            <family val="2"/>
          </rPr>
          <t>Väätäinen Kari:</t>
        </r>
        <r>
          <rPr>
            <sz val="9"/>
            <color indexed="81"/>
            <rFont val="Tahoma"/>
            <family val="2"/>
          </rPr>
          <t xml:space="preserve">
Payload is average payload from all loads, thereby value remains smaller that max. payload. Fresh weight density, log dimensions and accumilated snow during winter affects to payload. The weight of self loader varies 3,000 - 4,000 kg. For example, if self loader is attached in half of deliveries, half weight of loader should take away from the payload.
 </t>
        </r>
      </text>
    </comment>
    <comment ref="B14" authorId="0" shapeId="0" xr:uid="{00000000-0006-0000-0200-000002000000}">
      <text>
        <r>
          <rPr>
            <b/>
            <sz val="9"/>
            <color indexed="81"/>
            <rFont val="Tahoma"/>
            <family val="2"/>
          </rPr>
          <t>Väätäinen Kari:</t>
        </r>
        <r>
          <rPr>
            <sz val="9"/>
            <color indexed="81"/>
            <rFont val="Tahoma"/>
            <family val="2"/>
          </rPr>
          <t xml:space="preserve">
Distance from the first loading location to the delivery place
</t>
        </r>
      </text>
    </comment>
    <comment ref="B15" authorId="0" shapeId="0" xr:uid="{00000000-0006-0000-0200-000003000000}">
      <text>
        <r>
          <rPr>
            <b/>
            <sz val="9"/>
            <color indexed="81"/>
            <rFont val="Tahoma"/>
            <family val="2"/>
          </rPr>
          <t>Väätäinen Kari:</t>
        </r>
        <r>
          <rPr>
            <sz val="9"/>
            <color indexed="81"/>
            <rFont val="Tahoma"/>
            <family val="2"/>
          </rPr>
          <t xml:space="preserve">
Average driving between road side landings (i.e. decks) to fill the load space
</t>
        </r>
      </text>
    </comment>
    <comment ref="B16" authorId="0" shapeId="0" xr:uid="{00000000-0006-0000-0200-000004000000}">
      <text>
        <r>
          <rPr>
            <b/>
            <sz val="9"/>
            <color indexed="81"/>
            <rFont val="Tahoma"/>
            <family val="2"/>
          </rPr>
          <t>Väätäinen Kari:</t>
        </r>
        <r>
          <rPr>
            <sz val="9"/>
            <color indexed="81"/>
            <rFont val="Tahoma"/>
            <family val="2"/>
          </rPr>
          <t xml:space="preserve">
Distance from the last loading place to delivery place</t>
        </r>
      </text>
    </comment>
    <comment ref="B17" authorId="0" shapeId="0" xr:uid="{00000000-0006-0000-0200-000005000000}">
      <text>
        <r>
          <rPr>
            <b/>
            <sz val="9"/>
            <color indexed="81"/>
            <rFont val="Tahoma"/>
            <family val="2"/>
          </rPr>
          <t>Väätäinen Kari:</t>
        </r>
        <r>
          <rPr>
            <sz val="9"/>
            <color indexed="81"/>
            <rFont val="Tahoma"/>
            <family val="2"/>
          </rPr>
          <t xml:space="preserve">
The more the backhauling opportunities are, the lower is the unloading distance compared to transport distance.</t>
        </r>
      </text>
    </comment>
    <comment ref="B19" authorId="0" shapeId="0" xr:uid="{00000000-0006-0000-0200-000006000000}">
      <text>
        <r>
          <rPr>
            <b/>
            <sz val="9"/>
            <color indexed="81"/>
            <rFont val="Tahoma"/>
            <family val="2"/>
          </rPr>
          <t>Väätäinen Kari:</t>
        </r>
        <r>
          <rPr>
            <sz val="9"/>
            <color indexed="81"/>
            <rFont val="Tahoma"/>
            <family val="2"/>
          </rPr>
          <t xml:space="preserve">
Drivings excluded from normal load cycles; (drivings to repair, washing, inspection, garage etc.) </t>
        </r>
      </text>
    </comment>
    <comment ref="B24" authorId="0" shapeId="0" xr:uid="{00000000-0006-0000-0200-000007000000}">
      <text>
        <r>
          <rPr>
            <b/>
            <sz val="9"/>
            <color indexed="81"/>
            <rFont val="Tahoma"/>
            <family val="2"/>
          </rPr>
          <t>Väätäinen Kari:</t>
        </r>
        <r>
          <rPr>
            <sz val="9"/>
            <color indexed="81"/>
            <rFont val="Tahoma"/>
            <family val="2"/>
          </rPr>
          <t xml:space="preserve">
Define average speeds for road classes. Note that the shorter the distances are, smaller speed values should be used. Elevation and road conditions etc. Have also an impact.</t>
        </r>
      </text>
    </comment>
    <comment ref="B28" authorId="0" shapeId="0" xr:uid="{00000000-0006-0000-0200-000008000000}">
      <text>
        <r>
          <rPr>
            <b/>
            <sz val="9"/>
            <color indexed="81"/>
            <rFont val="Tahoma"/>
            <family val="2"/>
          </rPr>
          <t>Väätäinen Kari:</t>
        </r>
        <r>
          <rPr>
            <sz val="9"/>
            <color indexed="81"/>
            <rFont val="Tahoma"/>
            <family val="2"/>
          </rPr>
          <t xml:space="preserve">
Define correction factor for driving unloaded. If it is 1, the speeds for driving loaded and unloaded is equal.</t>
        </r>
      </text>
    </comment>
    <comment ref="B30" authorId="0" shapeId="0" xr:uid="{00000000-0006-0000-0200-000009000000}">
      <text>
        <r>
          <rPr>
            <b/>
            <sz val="9"/>
            <color indexed="81"/>
            <rFont val="Tahoma"/>
            <family val="2"/>
          </rPr>
          <t>Väätäinen Kari:</t>
        </r>
        <r>
          <rPr>
            <sz val="9"/>
            <color indexed="81"/>
            <rFont val="Tahoma"/>
            <family val="2"/>
          </rPr>
          <t xml:space="preserve">
Includes additional work associated with loading</t>
        </r>
      </text>
    </comment>
    <comment ref="B31" authorId="0" shapeId="0" xr:uid="{00000000-0006-0000-0200-00000A000000}">
      <text>
        <r>
          <rPr>
            <b/>
            <sz val="9"/>
            <color indexed="81"/>
            <rFont val="Tahoma"/>
            <family val="2"/>
          </rPr>
          <t>Väätäinen Kari:</t>
        </r>
        <r>
          <rPr>
            <sz val="9"/>
            <color indexed="81"/>
            <rFont val="Tahoma"/>
            <family val="2"/>
          </rPr>
          <t xml:space="preserve">
Includes additional work associated with unloading</t>
        </r>
      </text>
    </comment>
    <comment ref="B32" authorId="0" shapeId="0" xr:uid="{00000000-0006-0000-0200-00000B000000}">
      <text>
        <r>
          <rPr>
            <b/>
            <sz val="9"/>
            <color indexed="81"/>
            <rFont val="Tahoma"/>
            <family val="2"/>
          </rPr>
          <t>Väätäinen Kari:</t>
        </r>
        <r>
          <rPr>
            <sz val="9"/>
            <color indexed="81"/>
            <rFont val="Tahoma"/>
            <family val="2"/>
          </rPr>
          <t xml:space="preserve">
This includes breaks (lunch, coffee), fuelling, waitings (e.g. for unloading), scaling at timber delivery etc. Note, that Other time shoud include rest times according to the EU based regulation of rest and driving times. </t>
        </r>
      </text>
    </comment>
    <comment ref="B33" authorId="0" shapeId="0" xr:uid="{00000000-0006-0000-0200-00000C000000}">
      <text>
        <r>
          <rPr>
            <b/>
            <sz val="9"/>
            <color indexed="81"/>
            <rFont val="Tahoma"/>
            <family val="2"/>
          </rPr>
          <t>Väätäinen Kari:</t>
        </r>
        <r>
          <rPr>
            <sz val="9"/>
            <color indexed="81"/>
            <rFont val="Tahoma"/>
            <family val="2"/>
          </rPr>
          <t xml:space="preserve">
Calculated by the distances of each road classes and their average speeds
</t>
        </r>
      </text>
    </comment>
    <comment ref="B34" authorId="0" shapeId="0" xr:uid="{00000000-0006-0000-0200-00000D000000}">
      <text>
        <r>
          <rPr>
            <b/>
            <sz val="9"/>
            <color indexed="81"/>
            <rFont val="Tahoma"/>
            <family val="2"/>
          </rPr>
          <t>Väätäinen Kari:</t>
        </r>
        <r>
          <rPr>
            <sz val="9"/>
            <color indexed="81"/>
            <rFont val="Tahoma"/>
            <family val="2"/>
          </rPr>
          <t xml:space="preserve">
Calculated by the distances of each road classes and their average speeds</t>
        </r>
      </text>
    </comment>
    <comment ref="B35" authorId="0" shapeId="0" xr:uid="{00000000-0006-0000-0200-00000E000000}">
      <text>
        <r>
          <rPr>
            <b/>
            <sz val="9"/>
            <color indexed="81"/>
            <rFont val="Tahoma"/>
            <family val="2"/>
          </rPr>
          <t>Väätäinen Kari:</t>
        </r>
        <r>
          <rPr>
            <sz val="9"/>
            <color indexed="81"/>
            <rFont val="Tahoma"/>
            <family val="2"/>
          </rPr>
          <t xml:space="preserve">
If load is not full after loading and another timber loading will occur during the transport cycle, driving between decks occurs.</t>
        </r>
      </text>
    </comment>
    <comment ref="B37" authorId="0" shapeId="0" xr:uid="{00000000-0006-0000-0200-00000F000000}">
      <text>
        <r>
          <rPr>
            <b/>
            <sz val="9"/>
            <color indexed="81"/>
            <rFont val="Tahoma"/>
            <family val="2"/>
          </rPr>
          <t>Väätäinen Kari:</t>
        </r>
        <r>
          <rPr>
            <sz val="9"/>
            <color indexed="81"/>
            <rFont val="Tahoma"/>
            <family val="2"/>
          </rPr>
          <t xml:space="preserve">
time, which is occurring seldom such as truck repair and service etc. Time will be added to operating hours to count working hours of driver</t>
        </r>
      </text>
    </comment>
    <comment ref="B61" authorId="0" shapeId="0" xr:uid="{00000000-0006-0000-0200-000010000000}">
      <text>
        <r>
          <rPr>
            <b/>
            <sz val="9"/>
            <color indexed="81"/>
            <rFont val="Tahoma"/>
            <family val="2"/>
          </rPr>
          <t>Väätäinen Kari:</t>
        </r>
        <r>
          <rPr>
            <sz val="9"/>
            <color indexed="81"/>
            <rFont val="Tahoma"/>
            <family val="2"/>
          </rPr>
          <t xml:space="preserve">
All cost values must be without value added tax</t>
        </r>
      </text>
    </comment>
    <comment ref="B62" authorId="0" shapeId="0" xr:uid="{00000000-0006-0000-0200-000011000000}">
      <text>
        <r>
          <rPr>
            <b/>
            <sz val="9"/>
            <color indexed="81"/>
            <rFont val="Tahoma"/>
            <family val="2"/>
          </rPr>
          <t>Väätäinen Kari:</t>
        </r>
        <r>
          <rPr>
            <sz val="9"/>
            <color indexed="81"/>
            <rFont val="Tahoma"/>
            <family val="2"/>
          </rPr>
          <t xml:space="preserve">
Option1: Price of tires included in purchase prices of truck and trailer, and later on, tire costs are presented as fixed value in €/km
Option 2: Price of tires excluded from purchase prices of truck and trailer, and later on, tire costs are calculated by the Finnish method</t>
        </r>
      </text>
    </comment>
    <comment ref="B75" authorId="0" shapeId="0" xr:uid="{00000000-0006-0000-0200-000012000000}">
      <text>
        <r>
          <rPr>
            <b/>
            <sz val="9"/>
            <color indexed="81"/>
            <rFont val="Tahoma"/>
            <family val="2"/>
          </rPr>
          <t>Väätäinen Kari:</t>
        </r>
        <r>
          <rPr>
            <sz val="9"/>
            <color indexed="81"/>
            <rFont val="Tahoma"/>
            <family val="2"/>
          </rPr>
          <t xml:space="preserve">
Option1: Price of tires included in purchase prices of truck and trailer, and here, tire costs are presented as fixed value in €/km
</t>
        </r>
      </text>
    </comment>
    <comment ref="B76" authorId="0" shapeId="0" xr:uid="{00000000-0006-0000-0200-000013000000}">
      <text>
        <r>
          <rPr>
            <b/>
            <sz val="9"/>
            <color indexed="81"/>
            <rFont val="Tahoma"/>
            <family val="2"/>
          </rPr>
          <t>Väätäinen Kari:</t>
        </r>
        <r>
          <rPr>
            <sz val="9"/>
            <color indexed="81"/>
            <rFont val="Tahoma"/>
            <family val="2"/>
          </rPr>
          <t xml:space="preserve">
Option 2: Price of tires are excluded from purchase prices of truck and trailer, and here, tire costs are calculated by the Finnish method</t>
        </r>
      </text>
    </comment>
    <comment ref="B87" authorId="0" shapeId="0" xr:uid="{00000000-0006-0000-0200-000014000000}">
      <text>
        <r>
          <rPr>
            <b/>
            <sz val="9"/>
            <color indexed="81"/>
            <rFont val="Tahoma"/>
            <family val="2"/>
          </rPr>
          <t>Väätäinen Kari:</t>
        </r>
        <r>
          <rPr>
            <sz val="9"/>
            <color indexed="81"/>
            <rFont val="Tahoma"/>
            <family val="2"/>
          </rPr>
          <t xml:space="preserve">
Remember to check that price excludes value added tax</t>
        </r>
      </text>
    </comment>
    <comment ref="B90" authorId="0" shapeId="0" xr:uid="{00000000-0006-0000-0200-000015000000}">
      <text>
        <r>
          <rPr>
            <b/>
            <sz val="9"/>
            <color indexed="81"/>
            <rFont val="Tahoma"/>
            <family val="2"/>
          </rPr>
          <t>Väätäinen Kari:</t>
        </r>
        <r>
          <rPr>
            <sz val="9"/>
            <color indexed="81"/>
            <rFont val="Tahoma"/>
            <family val="2"/>
          </rPr>
          <t xml:space="preserve">
Option1: Define the annual repair and service costs</t>
        </r>
      </text>
    </comment>
    <comment ref="B91" authorId="0" shapeId="0" xr:uid="{00000000-0006-0000-0200-000016000000}">
      <text>
        <r>
          <rPr>
            <b/>
            <sz val="9"/>
            <color indexed="81"/>
            <rFont val="Tahoma"/>
            <family val="2"/>
          </rPr>
          <t>Väätäinen Kari:</t>
        </r>
        <r>
          <rPr>
            <sz val="9"/>
            <color indexed="81"/>
            <rFont val="Tahoma"/>
            <family val="2"/>
          </rPr>
          <t xml:space="preserve">
Option 2: Define kilometer based repair and service costs for truck and trailer, €/km</t>
        </r>
      </text>
    </comment>
    <comment ref="B92" authorId="0" shapeId="0" xr:uid="{00000000-0006-0000-0200-000017000000}">
      <text>
        <r>
          <rPr>
            <b/>
            <sz val="9"/>
            <color indexed="81"/>
            <rFont val="Tahoma"/>
            <family val="2"/>
          </rPr>
          <t>Väätäinen Kari:</t>
        </r>
        <r>
          <rPr>
            <sz val="9"/>
            <color indexed="81"/>
            <rFont val="Tahoma"/>
            <family val="2"/>
          </rPr>
          <t xml:space="preserve">
Option 2: Define load specific repair and service costs for the self loader, €/load</t>
        </r>
      </text>
    </comment>
    <comment ref="B93" authorId="0" shapeId="0" xr:uid="{00000000-0006-0000-0200-000018000000}">
      <text>
        <r>
          <rPr>
            <b/>
            <sz val="9"/>
            <color indexed="81"/>
            <rFont val="Tahoma"/>
            <family val="2"/>
          </rPr>
          <t>Väätäinen Kari:</t>
        </r>
        <r>
          <rPr>
            <sz val="9"/>
            <color indexed="81"/>
            <rFont val="Tahoma"/>
            <family val="2"/>
          </rPr>
          <t xml:space="preserve">
Add tire coating cost if you use separate tire cost calculation (Case Finland)</t>
        </r>
      </text>
    </comment>
    <comment ref="B95" authorId="0" shapeId="0" xr:uid="{00000000-0006-0000-0200-000019000000}">
      <text>
        <r>
          <rPr>
            <b/>
            <sz val="9"/>
            <color indexed="81"/>
            <rFont val="Tahoma"/>
            <family val="2"/>
          </rPr>
          <t>Väätäinen Kari:</t>
        </r>
        <r>
          <rPr>
            <sz val="9"/>
            <color indexed="81"/>
            <rFont val="Tahoma"/>
            <family val="2"/>
          </rPr>
          <t xml:space="preserve">
Insert full wage cost including all indirect costs, or separate them to direct and indirect costs</t>
        </r>
      </text>
    </comment>
    <comment ref="B97" authorId="0" shapeId="0" xr:uid="{00000000-0006-0000-0200-00001A000000}">
      <text>
        <r>
          <rPr>
            <b/>
            <sz val="9"/>
            <color indexed="81"/>
            <rFont val="Tahoma"/>
            <family val="2"/>
          </rPr>
          <t>Väätäinen Kari:</t>
        </r>
        <r>
          <rPr>
            <sz val="9"/>
            <color indexed="81"/>
            <rFont val="Tahoma"/>
            <family val="2"/>
          </rPr>
          <t xml:space="preserve">
If required, you can add costs of allowances here. By calculating the value, you can make it in the sheet "Wages and daily allowances"</t>
        </r>
      </text>
    </comment>
    <comment ref="B119" authorId="1" shapeId="0" xr:uid="{2460AFF4-A218-4B8E-A73F-2540144A11B3}">
      <text>
        <r>
          <rPr>
            <b/>
            <sz val="9"/>
            <color indexed="81"/>
            <rFont val="Tahoma"/>
            <charset val="1"/>
          </rPr>
          <t>Väätäinen Kari (LUKE):</t>
        </r>
        <r>
          <rPr>
            <sz val="9"/>
            <color indexed="81"/>
            <rFont val="Tahoma"/>
            <charset val="1"/>
          </rPr>
          <t xml:space="preserve">
If not included in previous indicator, add repair and service cost for loader here</t>
        </r>
      </text>
    </comment>
    <comment ref="B136" authorId="1" shapeId="0" xr:uid="{EEE20263-EB8F-488D-99A9-FBA0DA39609E}">
      <text>
        <r>
          <rPr>
            <b/>
            <sz val="9"/>
            <color indexed="81"/>
            <rFont val="Tahoma"/>
            <family val="2"/>
          </rPr>
          <t>Väätäinen Kari (LUKE):</t>
        </r>
        <r>
          <rPr>
            <sz val="9"/>
            <color indexed="81"/>
            <rFont val="Tahoma"/>
            <family val="2"/>
          </rPr>
          <t xml:space="preserve">
Costs do not include profit-margin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Väätäinen Kari (LUKE)</author>
    <author>Väätäinen Kari</author>
  </authors>
  <commentList>
    <comment ref="B10" authorId="0" shapeId="0" xr:uid="{D662BF69-E8FE-48E3-B4C1-89D6B63CC493}">
      <text>
        <r>
          <rPr>
            <b/>
            <sz val="9"/>
            <color indexed="81"/>
            <rFont val="Tahoma"/>
            <family val="2"/>
          </rPr>
          <t>Väätäinen Kari (LUKE):</t>
        </r>
        <r>
          <rPr>
            <sz val="9"/>
            <color indexed="81"/>
            <rFont val="Tahoma"/>
            <family val="2"/>
          </rPr>
          <t xml:space="preserve">
Asuumed to be same in all transport distances</t>
        </r>
      </text>
    </comment>
    <comment ref="B16" authorId="1" shapeId="0" xr:uid="{00000000-0006-0000-0300-000001000000}">
      <text>
        <r>
          <rPr>
            <b/>
            <sz val="9"/>
            <color indexed="81"/>
            <rFont val="Tahoma"/>
            <family val="2"/>
          </rPr>
          <t>Väätäinen Kari:</t>
        </r>
        <r>
          <rPr>
            <sz val="9"/>
            <color indexed="81"/>
            <rFont val="Tahoma"/>
            <family val="2"/>
          </rPr>
          <t xml:space="preserve">
Adjust value of each distance class so that you end up close to targeted loads or tonnes to be transported.</t>
        </r>
      </text>
    </comment>
    <comment ref="B22" authorId="1" shapeId="0" xr:uid="{00000000-0006-0000-0300-000003000000}">
      <text>
        <r>
          <rPr>
            <b/>
            <sz val="9"/>
            <color indexed="81"/>
            <rFont val="Tahoma"/>
            <family val="2"/>
          </rPr>
          <t>Väätäinen Kari:</t>
        </r>
        <r>
          <rPr>
            <sz val="9"/>
            <color indexed="81"/>
            <rFont val="Tahoma"/>
            <family val="2"/>
          </rPr>
          <t xml:space="preserve">
Gravel road distance for the load cycle.</t>
        </r>
      </text>
    </comment>
    <comment ref="B23" authorId="1" shapeId="0" xr:uid="{00000000-0006-0000-0300-000004000000}">
      <text>
        <r>
          <rPr>
            <b/>
            <sz val="9"/>
            <color indexed="81"/>
            <rFont val="Tahoma"/>
            <family val="2"/>
          </rPr>
          <t>Väätäinen Kari:</t>
        </r>
        <r>
          <rPr>
            <sz val="9"/>
            <color indexed="81"/>
            <rFont val="Tahoma"/>
            <family val="2"/>
          </rPr>
          <t xml:space="preserve">
Private road distance for the whole load cycle</t>
        </r>
      </text>
    </comment>
    <comment ref="B24" authorId="1" shapeId="0" xr:uid="{00000000-0006-0000-0300-000005000000}">
      <text>
        <r>
          <rPr>
            <b/>
            <sz val="9"/>
            <color indexed="81"/>
            <rFont val="Tahoma"/>
            <family val="2"/>
          </rPr>
          <t>Väätäinen Kari:</t>
        </r>
        <r>
          <rPr>
            <sz val="9"/>
            <color indexed="81"/>
            <rFont val="Tahoma"/>
            <family val="2"/>
          </rPr>
          <t xml:space="preserve">
This value is automatically calulated by the earlier given data.</t>
        </r>
      </text>
    </comment>
    <comment ref="B26" authorId="1" shapeId="0" xr:uid="{00000000-0006-0000-0300-000006000000}">
      <text>
        <r>
          <rPr>
            <b/>
            <sz val="9"/>
            <color indexed="81"/>
            <rFont val="Tahoma"/>
            <family val="2"/>
          </rPr>
          <t>Väätäinen Kari:</t>
        </r>
        <r>
          <rPr>
            <sz val="9"/>
            <color indexed="81"/>
            <rFont val="Tahoma"/>
            <family val="2"/>
          </rPr>
          <t xml:space="preserve">
Define average speeds for road classes. Note that the shorter the distances are, smaller speed values should be used. Elevation and road conditions etc. Have also an impact.
</t>
        </r>
      </text>
    </comment>
    <comment ref="B29" authorId="1" shapeId="0" xr:uid="{00000000-0006-0000-0300-000007000000}">
      <text>
        <r>
          <rPr>
            <b/>
            <sz val="9"/>
            <color indexed="81"/>
            <rFont val="Tahoma"/>
            <family val="2"/>
          </rPr>
          <t>Väätäinen Kari:</t>
        </r>
        <r>
          <rPr>
            <sz val="9"/>
            <color indexed="81"/>
            <rFont val="Tahoma"/>
            <family val="2"/>
          </rPr>
          <t xml:space="preserve">
I using one average speed value for all road types, set speed values for each distance class (one value for C21-C23, one for D21-D23 etc.)</t>
        </r>
      </text>
    </comment>
    <comment ref="AP31" authorId="1" shapeId="0" xr:uid="{00000000-0006-0000-0300-000008000000}">
      <text>
        <r>
          <rPr>
            <b/>
            <sz val="9"/>
            <color indexed="81"/>
            <rFont val="Tahoma"/>
            <family val="2"/>
          </rPr>
          <t>Väätäinen Kari:</t>
        </r>
        <r>
          <rPr>
            <sz val="9"/>
            <color indexed="81"/>
            <rFont val="Tahoma"/>
            <family val="2"/>
          </rPr>
          <t xml:space="preserve">
Define average speeds for road classes. Note that the shorter the distances are, smaller speed values should be used. Elevation and road conditions etc. Have also an impact.</t>
        </r>
      </text>
    </comment>
    <comment ref="B32" authorId="1" shapeId="0" xr:uid="{00000000-0006-0000-0300-000009000000}">
      <text>
        <r>
          <rPr>
            <b/>
            <sz val="9"/>
            <color indexed="81"/>
            <rFont val="Tahoma"/>
            <family val="2"/>
          </rPr>
          <t>Väätäinen Kari:</t>
        </r>
        <r>
          <rPr>
            <sz val="9"/>
            <color indexed="81"/>
            <rFont val="Tahoma"/>
            <family val="2"/>
          </rPr>
          <t xml:space="preserve">
Includes additional work associated with loading</t>
        </r>
      </text>
    </comment>
    <comment ref="B33" authorId="1" shapeId="0" xr:uid="{00000000-0006-0000-0300-00000A000000}">
      <text>
        <r>
          <rPr>
            <b/>
            <sz val="9"/>
            <color indexed="81"/>
            <rFont val="Tahoma"/>
            <family val="2"/>
          </rPr>
          <t>Väätäinen Kari:</t>
        </r>
        <r>
          <rPr>
            <sz val="9"/>
            <color indexed="81"/>
            <rFont val="Tahoma"/>
            <family val="2"/>
          </rPr>
          <t xml:space="preserve">
Includes additional work associated with unloading</t>
        </r>
      </text>
    </comment>
    <comment ref="B34" authorId="1" shapeId="0" xr:uid="{00000000-0006-0000-0300-00000B000000}">
      <text>
        <r>
          <rPr>
            <b/>
            <sz val="9"/>
            <color indexed="81"/>
            <rFont val="Tahoma"/>
            <family val="2"/>
          </rPr>
          <t>Väätäinen Kari:</t>
        </r>
        <r>
          <rPr>
            <sz val="9"/>
            <color indexed="81"/>
            <rFont val="Tahoma"/>
            <family val="2"/>
          </rPr>
          <t xml:space="preserve">
This includes breaks (lunch, coffee), fuelling, waitings (e.g. for unloading), scaling at timber delivery etc. Note, that Other time shoud include rest times according to the EU based regulation of rest and driving times. In longer distances time use for other time is longer than for shorter distances.</t>
        </r>
      </text>
    </comment>
    <comment ref="B35" authorId="1" shapeId="0" xr:uid="{00000000-0006-0000-0300-00000C000000}">
      <text>
        <r>
          <rPr>
            <b/>
            <sz val="9"/>
            <color indexed="81"/>
            <rFont val="Tahoma"/>
            <family val="2"/>
          </rPr>
          <t>Väätäinen Kari:</t>
        </r>
        <r>
          <rPr>
            <sz val="9"/>
            <color indexed="81"/>
            <rFont val="Tahoma"/>
            <family val="2"/>
          </rPr>
          <t xml:space="preserve">
Calculated by the distances of each road classes and their average speeds
</t>
        </r>
      </text>
    </comment>
    <comment ref="B36" authorId="1" shapeId="0" xr:uid="{00000000-0006-0000-0300-00000D000000}">
      <text>
        <r>
          <rPr>
            <b/>
            <sz val="9"/>
            <color indexed="81"/>
            <rFont val="Tahoma"/>
            <family val="2"/>
          </rPr>
          <t>Väätäinen Kari:</t>
        </r>
        <r>
          <rPr>
            <sz val="9"/>
            <color indexed="81"/>
            <rFont val="Tahoma"/>
            <family val="2"/>
          </rPr>
          <t xml:space="preserve">
Calculated by the distances of each road classes and their average speeds</t>
        </r>
      </text>
    </comment>
    <comment ref="B39" authorId="1" shapeId="0" xr:uid="{00000000-0006-0000-0300-00000E000000}">
      <text>
        <r>
          <rPr>
            <b/>
            <sz val="9"/>
            <color indexed="81"/>
            <rFont val="Tahoma"/>
            <family val="2"/>
          </rPr>
          <t>Väätäinen Kari:</t>
        </r>
        <r>
          <rPr>
            <sz val="9"/>
            <color indexed="81"/>
            <rFont val="Tahoma"/>
            <family val="2"/>
          </rPr>
          <t xml:space="preserve">
time, which is occurring seldom such as truck repair and service etc. Time will be added to operating hours to count working hours of driver</t>
        </r>
      </text>
    </comment>
    <comment ref="B90" authorId="0" shapeId="0" xr:uid="{9F4E2C64-D60A-4489-B7DC-C705C62495BE}">
      <text>
        <r>
          <rPr>
            <b/>
            <sz val="9"/>
            <color indexed="81"/>
            <rFont val="Tahoma"/>
            <family val="2"/>
          </rPr>
          <t>Väätäinen Kari (LUKE):</t>
        </r>
        <r>
          <rPr>
            <sz val="9"/>
            <color indexed="81"/>
            <rFont val="Tahoma"/>
            <family val="2"/>
          </rPr>
          <t xml:space="preserve">
User may insert tariff values from the practical case or test tariff estimates</t>
        </r>
      </text>
    </comment>
  </commentList>
</comments>
</file>

<file path=xl/sharedStrings.xml><?xml version="1.0" encoding="utf-8"?>
<sst xmlns="http://schemas.openxmlformats.org/spreadsheetml/2006/main" count="670" uniqueCount="476">
  <si>
    <t>Input parameters</t>
  </si>
  <si>
    <t>2. COST FACTORS</t>
  </si>
  <si>
    <t>a3. Self loader, €</t>
  </si>
  <si>
    <t>a2. Trailer, €</t>
  </si>
  <si>
    <t>a1. Truck, €</t>
  </si>
  <si>
    <t>e. Taxes, traffic costs and insurances, €</t>
  </si>
  <si>
    <t>f. Administration and maintenance, €</t>
  </si>
  <si>
    <t>d5. price for truck, €</t>
  </si>
  <si>
    <t>d6. price for trailer, €</t>
  </si>
  <si>
    <t>Costs and cost formulas</t>
  </si>
  <si>
    <t>a. Depreciation of truck, €/km</t>
  </si>
  <si>
    <t>b. Depreciation of trailer, €/km</t>
  </si>
  <si>
    <t>d. Tires, €/km</t>
  </si>
  <si>
    <t>f. Repairs and service, €/km</t>
  </si>
  <si>
    <t>e1. driving loaded and driving between decks, €/km</t>
  </si>
  <si>
    <t>e2. Driving empty and other driving, €/km</t>
  </si>
  <si>
    <t>a. Cost per load</t>
  </si>
  <si>
    <t>a2. distance depended costs, €/load</t>
  </si>
  <si>
    <t>a3. fixed costs, €/load</t>
  </si>
  <si>
    <t>a4. Cost per load, €/load</t>
  </si>
  <si>
    <t>c. Depreciation of self loader, €/load</t>
  </si>
  <si>
    <t>d7. lifetime of tires, km</t>
  </si>
  <si>
    <t>d1. price for truck, €/tire</t>
  </si>
  <si>
    <t>d2. price for trailer, €/tire</t>
  </si>
  <si>
    <t>d3. number of tires in truck</t>
  </si>
  <si>
    <t>d4. number of tires in trailer</t>
  </si>
  <si>
    <t>f1. Repair and service for loader, €/load</t>
  </si>
  <si>
    <t>a1. loader depended variable costs, €/load</t>
  </si>
  <si>
    <t>3. FIXED ANNUAL COSTS</t>
  </si>
  <si>
    <t>5. RESULTS</t>
  </si>
  <si>
    <t>e4. driving loaded and driving between decks, €/load</t>
  </si>
  <si>
    <t>e5. Driving empty and other driving, €/load</t>
  </si>
  <si>
    <t>b1. Truck, km</t>
  </si>
  <si>
    <t>b2. Trailer, km</t>
  </si>
  <si>
    <t>b3. Self loader, loads</t>
  </si>
  <si>
    <t>c1. Truck, %</t>
  </si>
  <si>
    <t>c2. Trailer, %</t>
  </si>
  <si>
    <t>c3. Self loader, %</t>
  </si>
  <si>
    <t>b. Lifetime</t>
  </si>
  <si>
    <t>c. Rest value percent</t>
  </si>
  <si>
    <t>d. Tire cost, €/km (Option 1)</t>
  </si>
  <si>
    <r>
      <t>d. Tires (Option 2;</t>
    </r>
    <r>
      <rPr>
        <i/>
        <sz val="11"/>
        <color theme="1"/>
        <rFont val="Calibri"/>
        <family val="2"/>
        <scheme val="minor"/>
      </rPr>
      <t xml:space="preserve"> method Finland</t>
    </r>
    <r>
      <rPr>
        <sz val="11"/>
        <color theme="1"/>
        <rFont val="Calibri"/>
        <family val="2"/>
        <scheme val="minor"/>
      </rPr>
      <t>)</t>
    </r>
  </si>
  <si>
    <t>1. VEHICLE AND LOAD CYCLE SPECIFIC FACTORS</t>
  </si>
  <si>
    <t>f1. During fully loaded, l/100km</t>
  </si>
  <si>
    <t>f2. During between decks, l/100km</t>
  </si>
  <si>
    <t>f. Average fuel consumption, l/100km</t>
  </si>
  <si>
    <t>Key performance indicators</t>
  </si>
  <si>
    <t xml:space="preserve">   a. Cost per load, €/load</t>
  </si>
  <si>
    <t xml:space="preserve">   b. Cost per tkm, €/tkm</t>
  </si>
  <si>
    <t xml:space="preserve">   c. Cost per tonne, €/t</t>
  </si>
  <si>
    <t xml:space="preserve">   d. Cost per operating hour, €/h</t>
  </si>
  <si>
    <t xml:space="preserve">   f. Costs of the vehicle, €/year</t>
  </si>
  <si>
    <t>a. Gross vehicle weight and average payload</t>
  </si>
  <si>
    <t>b. Distance specific factors</t>
  </si>
  <si>
    <t xml:space="preserve">   b1. Average transport distance, km</t>
  </si>
  <si>
    <t xml:space="preserve">   b2. Average distance of driving between decks, km</t>
  </si>
  <si>
    <t xml:space="preserve">   b3. Average distance of fully loaded, km</t>
  </si>
  <si>
    <t xml:space="preserve">   b5. Average load cycle distance, km</t>
  </si>
  <si>
    <t xml:space="preserve">   a1. Gross vehicle weight, t</t>
  </si>
  <si>
    <t>c. Share of road classes</t>
  </si>
  <si>
    <t xml:space="preserve">   c1. Share of public paved roads, %</t>
  </si>
  <si>
    <t xml:space="preserve">   c2. Share of public gravel roads, %</t>
  </si>
  <si>
    <t xml:space="preserve">   c3. Share of private roads (e.g. forest roads), %</t>
  </si>
  <si>
    <t xml:space="preserve">   d1. public paved roads, km/h</t>
  </si>
  <si>
    <t xml:space="preserve">   d2. public gravel roads, km/h</t>
  </si>
  <si>
    <t>e. Duration of time element per load cycle</t>
  </si>
  <si>
    <t xml:space="preserve">   e1. Loading, h</t>
  </si>
  <si>
    <t xml:space="preserve">   e2. Unloading, h</t>
  </si>
  <si>
    <t xml:space="preserve">   e4. Driving fully loaded, h</t>
  </si>
  <si>
    <t xml:space="preserve">   e5. Driving unloaded, h</t>
  </si>
  <si>
    <t xml:space="preserve">   e6. Driving between decks, h</t>
  </si>
  <si>
    <t xml:space="preserve">  e7.  Load cycle time, h</t>
  </si>
  <si>
    <t xml:space="preserve">  e8.  Additional work time for drivers, % of the load cycle time</t>
  </si>
  <si>
    <t>f3. During unloaded, l/100km</t>
  </si>
  <si>
    <t>f4. During crane work (and idle running), l/h</t>
  </si>
  <si>
    <t>h. Performance indicators</t>
  </si>
  <si>
    <t xml:space="preserve">   h1. Transport distance (as loaded), km</t>
  </si>
  <si>
    <t xml:space="preserve">   h2. Average load cycle distance, km</t>
  </si>
  <si>
    <t xml:space="preserve">   h3. Average cycle time, h</t>
  </si>
  <si>
    <t xml:space="preserve">   h4. Average driving speed, km/h</t>
  </si>
  <si>
    <t xml:space="preserve">   h5. Average fuel consumption, l/100km</t>
  </si>
  <si>
    <t xml:space="preserve">   h6. Annual operating hours, h (associated to load cycle operation)</t>
  </si>
  <si>
    <t xml:space="preserve">   h7. Annual working hours, h</t>
  </si>
  <si>
    <t xml:space="preserve">   h8. Loads per year</t>
  </si>
  <si>
    <t xml:space="preserve">   h9. Transported tons per year, ton</t>
  </si>
  <si>
    <t xml:space="preserve">   h10. Annual driving, km</t>
  </si>
  <si>
    <t>g. Annual operating hours, h</t>
  </si>
  <si>
    <t>a. Interest of truck, €/year</t>
  </si>
  <si>
    <t>b. Interest of trailer, €/year</t>
  </si>
  <si>
    <t>c. Interest of self loader €/year</t>
  </si>
  <si>
    <t>d. Taxes, traffic costs and insurances, €/year</t>
  </si>
  <si>
    <t>e. Administration and maintenance, €/year</t>
  </si>
  <si>
    <t>f. Wages, €/year</t>
  </si>
  <si>
    <t>g. Fixed annual costs, €/year</t>
  </si>
  <si>
    <t>a. Investment; purchase price</t>
  </si>
  <si>
    <t xml:space="preserve">   e3. Other time, h</t>
  </si>
  <si>
    <t xml:space="preserve">AREAS COLOURED BY BLUE ARE USER DEFINED </t>
  </si>
  <si>
    <t>AREAS COLOURED BY GREEN INCLUDE FORMULAS</t>
  </si>
  <si>
    <t>4. FIXED AND VARIABLE COSTS</t>
  </si>
  <si>
    <t>Distribution classes, km</t>
  </si>
  <si>
    <t>Transport distance distribution, km</t>
  </si>
  <si>
    <t>Driving between decks, km</t>
  </si>
  <si>
    <t>Driving fully loaded, km</t>
  </si>
  <si>
    <t>Driving unloaded, km</t>
  </si>
  <si>
    <t>Load cycle distance, km</t>
  </si>
  <si>
    <t>Number of load cycles per year</t>
  </si>
  <si>
    <t>Average transport distance of each class, km</t>
  </si>
  <si>
    <t>Time proportion of operating hours per year, %</t>
  </si>
  <si>
    <t>Operating hours, h</t>
  </si>
  <si>
    <t xml:space="preserve">  e8.  Additional work time for drivers, % of the operating hours</t>
  </si>
  <si>
    <t xml:space="preserve">   b4. Average distance of driving unloaded, km</t>
  </si>
  <si>
    <t>COSTS</t>
  </si>
  <si>
    <t>Fixed costs, €/load</t>
  </si>
  <si>
    <t>Fixed costs, €/km</t>
  </si>
  <si>
    <t>Loader depended costs, €/load</t>
  </si>
  <si>
    <t>Loader depended costs, €/km</t>
  </si>
  <si>
    <t xml:space="preserve">   Variable costs (diesel excluded), €/load</t>
  </si>
  <si>
    <t>TOTAL, €/km</t>
  </si>
  <si>
    <t xml:space="preserve">   TOTAL, €/load</t>
  </si>
  <si>
    <t xml:space="preserve">   e1. Cost per kilometre (load cycle), €/km</t>
  </si>
  <si>
    <t xml:space="preserve">   e2. Cost per kilometre (transport distance), €/km</t>
  </si>
  <si>
    <t xml:space="preserve">   f. Costs for each distance class, €/year</t>
  </si>
  <si>
    <t>AVG.</t>
  </si>
  <si>
    <t xml:space="preserve">   h11. Annual transport distance, km</t>
  </si>
  <si>
    <t xml:space="preserve">   Driving costs for diesel consumption, €/load</t>
  </si>
  <si>
    <t>Case-tariff</t>
  </si>
  <si>
    <t>profit per tonne</t>
  </si>
  <si>
    <t>Profit per distance class</t>
  </si>
  <si>
    <t xml:space="preserve">   Loads per each distance class, loads</t>
  </si>
  <si>
    <t>Profit per load</t>
  </si>
  <si>
    <t>sum:</t>
  </si>
  <si>
    <t>SUM</t>
  </si>
  <si>
    <t>%</t>
  </si>
  <si>
    <t xml:space="preserve">   b6. Uncompensated driving per year, km</t>
  </si>
  <si>
    <t>g. Diesel price, €/l</t>
  </si>
  <si>
    <t>h1. Repair and service  (Option 1), € (incl. oils)</t>
  </si>
  <si>
    <t>h2a. Repair and service for truck and trailer (Option 2), €/km</t>
  </si>
  <si>
    <t>h2b. Repair and service for self loader (Option 2), €/load</t>
  </si>
  <si>
    <t>i. coating of tires, €/tire (case Finland)</t>
  </si>
  <si>
    <t>j. Interest rate, %</t>
  </si>
  <si>
    <t>k. Driver's wage cost, €/hour</t>
  </si>
  <si>
    <t>l. Indirect wage cost, %</t>
  </si>
  <si>
    <r>
      <t xml:space="preserve">   b4. Average distance of driving unloaded, km </t>
    </r>
    <r>
      <rPr>
        <i/>
        <sz val="11"/>
        <color theme="1"/>
        <rFont val="Calibri"/>
        <family val="2"/>
        <scheme val="minor"/>
      </rPr>
      <t>Note:</t>
    </r>
    <r>
      <rPr>
        <i/>
        <sz val="11"/>
        <color theme="1"/>
        <rFont val="Calibri"/>
        <family val="2"/>
        <scheme val="minor"/>
      </rPr>
      <t>define backhauling here!!</t>
    </r>
    <r>
      <rPr>
        <sz val="11"/>
        <color theme="1"/>
        <rFont val="Calibri"/>
        <family val="2"/>
        <scheme val="minor"/>
      </rPr>
      <t>)</t>
    </r>
  </si>
  <si>
    <t xml:space="preserve">   h8. Annual operating hours, h (associated to load cycle operation)</t>
  </si>
  <si>
    <t xml:space="preserve">   h9. Annual working hours, h</t>
  </si>
  <si>
    <t xml:space="preserve">   h7. Annual fuel consumption, l</t>
  </si>
  <si>
    <t xml:space="preserve">   h10. Loads per year</t>
  </si>
  <si>
    <t xml:space="preserve">   h11. Transported tons per year, ton</t>
  </si>
  <si>
    <t xml:space="preserve">   h12. Annual driving, km</t>
  </si>
  <si>
    <t>NB-Nord co-operation</t>
  </si>
  <si>
    <t xml:space="preserve">   h6. Average fuel consumption, l/tkm</t>
  </si>
  <si>
    <t>-75</t>
  </si>
  <si>
    <t>76-125</t>
  </si>
  <si>
    <t>126-175</t>
  </si>
  <si>
    <t>176-225</t>
  </si>
  <si>
    <t>226-</t>
  </si>
  <si>
    <t>Instructions:</t>
  </si>
  <si>
    <t>Trucking costs</t>
  </si>
  <si>
    <t>Profit, €</t>
  </si>
  <si>
    <t>Share of driving unloaded from transp. dist. (back-hauling effect), %</t>
  </si>
  <si>
    <t>Profit:</t>
  </si>
  <si>
    <t>Profit-margin:</t>
  </si>
  <si>
    <t>Revenue</t>
  </si>
  <si>
    <t>Profit-margin</t>
  </si>
  <si>
    <t>€</t>
  </si>
  <si>
    <t>Total profit</t>
  </si>
  <si>
    <t>-Diesel cost for uncompensated driving per load</t>
  </si>
  <si>
    <t xml:space="preserve">   b6. Uncompensated driving per year (as unloaded), km and km/load cycle</t>
  </si>
  <si>
    <t>EMPTY RUNNING %</t>
  </si>
  <si>
    <t>c. Shares and distances of road classes</t>
  </si>
  <si>
    <t>c. Shares of road classes</t>
  </si>
  <si>
    <t>m. Profit margin, %</t>
  </si>
  <si>
    <t xml:space="preserve">   a2. Average payload, t</t>
  </si>
  <si>
    <t>Transported tons, ton</t>
  </si>
  <si>
    <t xml:space="preserve">   d3. private roads, km/h</t>
  </si>
  <si>
    <t>d. Average speeds</t>
  </si>
  <si>
    <t xml:space="preserve">   d1. private roads, km/h</t>
  </si>
  <si>
    <t xml:space="preserve">   d3. public paved roads, km/h</t>
  </si>
  <si>
    <t xml:space="preserve">   c1. Distance of public gravel roads, km</t>
  </si>
  <si>
    <t xml:space="preserve">   c2. Distance of private roads (e.g. forest roads), km</t>
  </si>
  <si>
    <t xml:space="preserve">   c3. Distance of public paved roads, km</t>
  </si>
  <si>
    <t>Cost per tonne</t>
  </si>
  <si>
    <t>g1. Diesel price, €/l</t>
  </si>
  <si>
    <t>g2. Price of AdBlue, €/l</t>
  </si>
  <si>
    <t>g3. Consumption of adBlue, l/100km</t>
  </si>
  <si>
    <t>e. Diesel and AdBlue</t>
  </si>
  <si>
    <t>f. Wages (and allowances), €/year</t>
  </si>
  <si>
    <t>a5. Profit margin, €/load</t>
  </si>
  <si>
    <t xml:space="preserve">m. Sum of allowances for the year, € </t>
  </si>
  <si>
    <t>c3.1 Share of self loader use during unloading, %</t>
  </si>
  <si>
    <t xml:space="preserve">   d4. Speed correction factor for driving as loaded</t>
  </si>
  <si>
    <t>4. VARIABLE COSTS</t>
  </si>
  <si>
    <t>NB Nord countries (average)</t>
  </si>
  <si>
    <t>AREAS COLOURED BY LIGHT GREEN INCLUDE FORMULAS</t>
  </si>
  <si>
    <t>AREAS COLOURED BY DARK GREEN INCLUDE REFERRING TO SHEET B2</t>
  </si>
  <si>
    <t>AREAS COLOURED BY DARK GREEN ARE SUM/AVERAGE VALUES</t>
  </si>
  <si>
    <t>&lt;-- distance of fully loaded</t>
  </si>
  <si>
    <t>&lt;-- Pure driving</t>
  </si>
  <si>
    <t xml:space="preserve">   h1. Transport distance, km</t>
  </si>
  <si>
    <t xml:space="preserve">   h12. Annual drivings loaded, km</t>
  </si>
  <si>
    <t xml:space="preserve">   h13. Annual drivings between decks, km</t>
  </si>
  <si>
    <t xml:space="preserve">   h14. Annual drivings unloaded, km</t>
  </si>
  <si>
    <t>If using option B, user has to insert required values for the both calculation sheets of B-option (sheets B1 and B2). Be patient in that :)</t>
  </si>
  <si>
    <t>Case-area</t>
  </si>
  <si>
    <t>f4. During crane work, l/h</t>
  </si>
  <si>
    <t>e3. Crane work, €/load</t>
  </si>
  <si>
    <t>test environment</t>
  </si>
  <si>
    <t xml:space="preserve">   Variable costs (diesel and AdBlue excluded), €/km</t>
  </si>
  <si>
    <t xml:space="preserve">   Driving costs for diesel (and AdBlue) consumption, €/km</t>
  </si>
  <si>
    <t>System example: single electric train set feeding 1 mill from 3 terminals</t>
  </si>
  <si>
    <t>input cells</t>
  </si>
  <si>
    <t>key output cells</t>
  </si>
  <si>
    <t>Calculations</t>
  </si>
  <si>
    <t>Input instructions</t>
  </si>
  <si>
    <t>1. TRAIN SET SPECIFICATIONS</t>
  </si>
  <si>
    <t>no. train sets</t>
  </si>
  <si>
    <t xml:space="preserve">1.1 Enter no. of complete train sets required to fufill the scheduled cycles/yr </t>
  </si>
  <si>
    <t xml:space="preserve">(Note; fixed costs for all resources specified here are allocated to the specified transport tonnage) </t>
  </si>
  <si>
    <t>locomotives/set</t>
  </si>
  <si>
    <t>no.locomotives</t>
  </si>
  <si>
    <t xml:space="preserve">1.2 Enter no. of locomotives required to draw full wagon set </t>
  </si>
  <si>
    <t>locomotive weight (t)</t>
  </si>
  <si>
    <t xml:space="preserve">1.3 Enter locomotive weight </t>
  </si>
  <si>
    <t>wagons/set</t>
  </si>
  <si>
    <t>no. wagons</t>
  </si>
  <si>
    <t>1.4 Enter no. of wagons required to deliver tonnage/cycle</t>
  </si>
  <si>
    <t>wagone tare weight (t)</t>
  </si>
  <si>
    <t>1.5 Enter empty wagon weight</t>
  </si>
  <si>
    <t>payload/wagon (t)</t>
  </si>
  <si>
    <t>1.6 Enter actual payload for the given wagon profile</t>
  </si>
  <si>
    <t>sum weight unloaded wagons (t)</t>
  </si>
  <si>
    <t>sum weight loaded wagons (t)</t>
  </si>
  <si>
    <t>sum weight payload (t)</t>
  </si>
  <si>
    <t>weight/train set</t>
  </si>
  <si>
    <t>2.1 Enter cycle time parameters (below left)</t>
  </si>
  <si>
    <t>total weight empty</t>
  </si>
  <si>
    <t>2.2 Enter terminal and transport data for scheduling (below right)</t>
  </si>
  <si>
    <t>total weight loaded</t>
  </si>
  <si>
    <t>Scheduling explanations</t>
  </si>
  <si>
    <t>2. CYCLE TIME PARAMETERS</t>
  </si>
  <si>
    <t>Terminal and transport data for scheduling and costs</t>
  </si>
  <si>
    <t>Terminal A</t>
  </si>
  <si>
    <t>Terminal B</t>
  </si>
  <si>
    <t>Terminal C</t>
  </si>
  <si>
    <t>Terminal D</t>
  </si>
  <si>
    <t>Terminal E</t>
  </si>
  <si>
    <t>Terminal F</t>
  </si>
  <si>
    <t>Sum</t>
  </si>
  <si>
    <t>one-way distance (km)</t>
  </si>
  <si>
    <t>(km) average loaded transport distance</t>
  </si>
  <si>
    <t>cycle time parameters</t>
  </si>
  <si>
    <t>annual transport tonnage (tons/yr)</t>
  </si>
  <si>
    <t>tons/yr</t>
  </si>
  <si>
    <t>loading time/wagon (hrs/wagon)</t>
  </si>
  <si>
    <t>annual transport output (net t km/yr)</t>
  </si>
  <si>
    <t>net t km/yr</t>
  </si>
  <si>
    <t>unloading time/wagon (hrs/wagon)</t>
  </si>
  <si>
    <t>cycles per year</t>
  </si>
  <si>
    <t xml:space="preserve">departure delay (average hrs waiting for scheduled departure) </t>
  </si>
  <si>
    <t>hours/cycle (hrs mill-terminal-mill)</t>
  </si>
  <si>
    <r>
      <rPr>
        <sz val="11"/>
        <color theme="1"/>
        <rFont val="Calibri"/>
        <family val="2"/>
        <scheme val="minor"/>
      </rPr>
      <t>Average cycle time (hrs)</t>
    </r>
    <r>
      <rPr>
        <b/>
        <sz val="11"/>
        <color theme="1"/>
        <rFont val="Calibri"/>
        <family val="2"/>
        <scheme val="minor"/>
      </rPr>
      <t>. To convert terminal-specific cycle times (hours) to calender days for regular scheduling:</t>
    </r>
  </si>
  <si>
    <t>average travel speed (incl. delays underways)</t>
  </si>
  <si>
    <t>required calender days per cycle</t>
  </si>
  <si>
    <t xml:space="preserve">&lt; 12 hrs = 0,5 days/cycles; &lt; 24 hrs = 1 day/cycle; &gt; 24 hrs r= 2 days/cycle  </t>
  </si>
  <si>
    <t>required calender days for regular scheduled operation</t>
  </si>
  <si>
    <t xml:space="preserve">scheduled calender days/yr </t>
  </si>
  <si>
    <t>&gt; 364 scheduled days/yr requires more than 1 train set (input instruction 1.1, cell B9)</t>
  </si>
  <si>
    <t>annual resource utilization (operation hrs)</t>
  </si>
  <si>
    <t>operating hrs/yr</t>
  </si>
  <si>
    <t xml:space="preserve">% of capacity utilization (typical locomotive utilization in practice = 5000 hr/yr, max theoretical hrs/yr = 365*24 = 8769) </t>
  </si>
  <si>
    <t>3. COST CALCULATIONS</t>
  </si>
  <si>
    <t>annual km (total driven distance)</t>
  </si>
  <si>
    <t>km/yr</t>
  </si>
  <si>
    <t>annual gross tkm (tkm loaded and unloaded)</t>
  </si>
  <si>
    <t>gross t km/yr</t>
  </si>
  <si>
    <t>Investments (€)</t>
  </si>
  <si>
    <t>per locomotive</t>
  </si>
  <si>
    <t>3.1 Enter purchase prices</t>
  </si>
  <si>
    <t>per wagon</t>
  </si>
  <si>
    <t>Weekly scheduling of terminal departures to mill</t>
  </si>
  <si>
    <t>rest value (%)</t>
  </si>
  <si>
    <t>Terminal</t>
  </si>
  <si>
    <t>cycles/week</t>
  </si>
  <si>
    <t>days/cycle</t>
  </si>
  <si>
    <t>Train set</t>
  </si>
  <si>
    <t xml:space="preserve">Terminal </t>
  </si>
  <si>
    <t>Mon</t>
  </si>
  <si>
    <t>Tues</t>
  </si>
  <si>
    <t>Wed</t>
  </si>
  <si>
    <t>Thurs</t>
  </si>
  <si>
    <t>Fri</t>
  </si>
  <si>
    <t>Sat</t>
  </si>
  <si>
    <t>Sun</t>
  </si>
  <si>
    <t>Sum cycles/week</t>
  </si>
  <si>
    <t>locomotive</t>
  </si>
  <si>
    <t>3.2  Specify residual values after assumed life time (% of purchase price)</t>
  </si>
  <si>
    <t>A</t>
  </si>
  <si>
    <t>wagon</t>
  </si>
  <si>
    <t>B</t>
  </si>
  <si>
    <t>lifetime (yrs)</t>
  </si>
  <si>
    <t>C</t>
  </si>
  <si>
    <t>3.3 Enter expected lifetimes under normal operations</t>
  </si>
  <si>
    <t>maintenance (€/unit/yr)</t>
  </si>
  <si>
    <t>3.4 Enter annual costs of annual maintenance program</t>
  </si>
  <si>
    <t>3a. Annual fixed costs</t>
  </si>
  <si>
    <t>average bound capital over lifetime = (investment+rest value)/2</t>
  </si>
  <si>
    <t>all locomotives</t>
  </si>
  <si>
    <t>all wagons</t>
  </si>
  <si>
    <t>average interest/yr</t>
  </si>
  <si>
    <t>interest rate on capital bound in system resources (%)</t>
  </si>
  <si>
    <t xml:space="preserve">3.5 Enter required interest rate for capital </t>
  </si>
  <si>
    <t>sum interest (€/yr)</t>
  </si>
  <si>
    <t>average depreciation/yr</t>
  </si>
  <si>
    <t>sum depreciation (€/yr)</t>
  </si>
  <si>
    <t>maintainence/yr</t>
  </si>
  <si>
    <t>sum maintenance (€/yr)</t>
  </si>
  <si>
    <t>fixed costs/yr</t>
  </si>
  <si>
    <t xml:space="preserve">% extra resources (req'd during breakdown/maintenance) </t>
  </si>
  <si>
    <t>Sum annual fixed costs (€/yr)</t>
  </si>
  <si>
    <t>3b. Annual variable costs</t>
  </si>
  <si>
    <t>sum system hrs/yr</t>
  </si>
  <si>
    <t>operator costs €/hr</t>
  </si>
  <si>
    <t>3.6 Enter total wage costs per paid work hour including travel, breaks,  etc.</t>
  </si>
  <si>
    <t xml:space="preserve">expected utilization rate (% active in cycle/annual working time) </t>
  </si>
  <si>
    <t>3.7 Enter proportion of paid working time in operation (%)</t>
  </si>
  <si>
    <t>sum hourly costs (€/yr)</t>
  </si>
  <si>
    <t>sum system km/yr</t>
  </si>
  <si>
    <t>insurance costs/km</t>
  </si>
  <si>
    <t>3.8 See rates from national network statememt</t>
  </si>
  <si>
    <t>sum km-driven costs (€/yr)</t>
  </si>
  <si>
    <t>sum system gross tkm/yr</t>
  </si>
  <si>
    <t>rail fee/gross tkm</t>
  </si>
  <si>
    <t>3.9 See rates from national network statement</t>
  </si>
  <si>
    <t>electricity cost/gross tkm*</t>
  </si>
  <si>
    <t>3.10 See rates from national network statement (example in Appendix A)</t>
  </si>
  <si>
    <t>sum gross tkm-driven costs (€/yr)</t>
  </si>
  <si>
    <t>Sum annual variable costs (€/yr)</t>
  </si>
  <si>
    <t>3c. Sum annual costs per transported unit</t>
  </si>
  <si>
    <t>annual variable costs</t>
  </si>
  <si>
    <t>annual fixed cost</t>
  </si>
  <si>
    <t>sum annual costs (€/yr)</t>
  </si>
  <si>
    <t>sum annual tonnage</t>
  </si>
  <si>
    <t>variable costs/t</t>
  </si>
  <si>
    <t>fixed cost/t</t>
  </si>
  <si>
    <t>sum costs (€/t)</t>
  </si>
  <si>
    <t>Conversion factor; ton per m3sub</t>
  </si>
  <si>
    <t>3.11 Enter roundwood weight (tons per m3) to get transport cost per m3</t>
  </si>
  <si>
    <t>sum costs €/m3</t>
  </si>
  <si>
    <t>sum annual (net) transport output</t>
  </si>
  <si>
    <t>annual variable costs/tkm</t>
  </si>
  <si>
    <t>annual fixed cost/tkm</t>
  </si>
  <si>
    <t>sum costs (€/tkm)</t>
  </si>
  <si>
    <t>sum costs €/m3 km</t>
  </si>
  <si>
    <t>Appendix A - Example of electricity costs for traction current (SE)</t>
  </si>
  <si>
    <t>Traction current consumption (Wh/gross tkm)</t>
  </si>
  <si>
    <t>extra heavy (iron-ore)</t>
  </si>
  <si>
    <t>wagon-load</t>
  </si>
  <si>
    <t>high speed freight (&gt; 130 km/hr)</t>
  </si>
  <si>
    <t>example gross tkm (1000 t x 500 km)</t>
  </si>
  <si>
    <t>consumption in kWh (19,5 Wh/gross tkm)</t>
  </si>
  <si>
    <t>loss surcharge (normal system loss *locomotive loss) = 1,14* 1,08</t>
  </si>
  <si>
    <t>basic price = market el price + network cost = 0,48 + 0,09</t>
  </si>
  <si>
    <t>el-certificate</t>
  </si>
  <si>
    <t>volum loss</t>
  </si>
  <si>
    <t>SEK/kWh = (surcharge*basic price) + certificate + volume loss</t>
  </si>
  <si>
    <t>SEK/cycle</t>
  </si>
  <si>
    <t>SEK/gross tkm</t>
  </si>
  <si>
    <t>Time Charter-based for Contract of affreightment (COA) between PoL-PoD</t>
  </si>
  <si>
    <t>input parameters</t>
  </si>
  <si>
    <t>main output</t>
  </si>
  <si>
    <t>Input intructions</t>
  </si>
  <si>
    <t>Typical input range</t>
  </si>
  <si>
    <t>1. CARGO CAPACITY</t>
  </si>
  <si>
    <t xml:space="preserve">Cargo hold volumes </t>
  </si>
  <si>
    <t>First cargo hold (ft3)</t>
  </si>
  <si>
    <t>1.1 Enter hold volumes in cubic feet (ft3)</t>
  </si>
  <si>
    <t>See vessel specification (ft3 bale)</t>
  </si>
  <si>
    <t>Second cargo hold (ft3)</t>
  </si>
  <si>
    <t>Sum hold capacity in ft3</t>
  </si>
  <si>
    <t>Sum hold capacity in m3 (35,3 ft3/m3)</t>
  </si>
  <si>
    <t>solid volume factor (svf %)</t>
  </si>
  <si>
    <t xml:space="preserve">1.2 Convert vessel hold volume to corresponding m3sub of roundwood  </t>
  </si>
  <si>
    <t>for pulpwood: ranging from 45 % (deciduous) to 55 % (coniferous)</t>
  </si>
  <si>
    <t>hold capacity (m3sub)</t>
  </si>
  <si>
    <t>% extra load on deck</t>
  </si>
  <si>
    <t>1.3 Add additional load on deck (% of volume under deck)</t>
  </si>
  <si>
    <t xml:space="preserve">15-30 %, depending on required stability (seasonal wave height and hull width/depth) </t>
  </si>
  <si>
    <t>Vessel cargo capacity (m3sub in hold + on deck)</t>
  </si>
  <si>
    <t>2. VOYAGE TIMES</t>
  </si>
  <si>
    <t>Distances*, steaming speeds, terminal handling rates</t>
  </si>
  <si>
    <t>ballast distance (from PoO to PoL in nm)</t>
  </si>
  <si>
    <t>2.1 Enter ballast distance to PoL (nm)</t>
  </si>
  <si>
    <t xml:space="preserve">varies from 75 % of laden distance (shuttle routes &lt; 200 nm with limited backhauling ) to 25 % (longer routes &gt; 600 nm with cargo backhaul flow)    </t>
  </si>
  <si>
    <t>voyage distance (PoL to PoD in nm)</t>
  </si>
  <si>
    <t>2.2 Enter voyage distance for cargo from PoL to PoD (nm)</t>
  </si>
  <si>
    <t xml:space="preserve">see https://sea-distances.org/ </t>
  </si>
  <si>
    <t>ballast speed (11-13 kn)</t>
  </si>
  <si>
    <t>10-12 kn, depending on vessel, weather and possibility to reduce bunker consumption</t>
  </si>
  <si>
    <t>turn time at PoL (hrs)</t>
  </si>
  <si>
    <t xml:space="preserve">2 hr standard time </t>
  </si>
  <si>
    <t>loading rate at PoL (m3sub/hr)</t>
  </si>
  <si>
    <t>2.3 Enter standard loading rate at PoL</t>
  </si>
  <si>
    <t>150-250 m3/hr, see port specifications</t>
  </si>
  <si>
    <t>loaded speed (kn)</t>
  </si>
  <si>
    <t>2.4 Enter vessel speed (kn)</t>
  </si>
  <si>
    <t>turn time at PoD (hrs)</t>
  </si>
  <si>
    <t xml:space="preserve">2.5 Enter turn time from arrival in port to loading/unloading </t>
  </si>
  <si>
    <t>discharge rate at PoD (m3sub/hr)</t>
  </si>
  <si>
    <t>2.6 Enter standard discharge rate at PoD</t>
  </si>
  <si>
    <t>General delay time (hr)</t>
  </si>
  <si>
    <t>2.7 Enter expected delay times (hrs)</t>
  </si>
  <si>
    <t xml:space="preserve">for example 24 hours, often after loading at PoL or while steaming laden, in order to meet agreed time-of-arrival at PoD  </t>
  </si>
  <si>
    <t>Voyage times (hrs)</t>
  </si>
  <si>
    <t>ballast voyage</t>
  </si>
  <si>
    <t>turn+loading</t>
  </si>
  <si>
    <t>loaded voyage</t>
  </si>
  <si>
    <t>turn+discharge</t>
  </si>
  <si>
    <t>Sum voyage time (hrs)</t>
  </si>
  <si>
    <t>sum TC-time for voyage (days)</t>
  </si>
  <si>
    <t>days steaming</t>
  </si>
  <si>
    <t>days in port</t>
  </si>
  <si>
    <t>Cost parameters</t>
  </si>
  <si>
    <r>
      <t>Vessel hire (TC</t>
    </r>
    <r>
      <rPr>
        <vertAlign val="subscript"/>
        <sz val="11"/>
        <color theme="1"/>
        <rFont val="Calibri"/>
        <family val="2"/>
        <scheme val="minor"/>
      </rPr>
      <t>hire</t>
    </r>
    <r>
      <rPr>
        <sz val="11"/>
        <color theme="1"/>
        <rFont val="Calibri"/>
        <family val="2"/>
        <scheme val="minor"/>
      </rPr>
      <t xml:space="preserve"> euro/day)</t>
    </r>
  </si>
  <si>
    <t>3.1 Enter vessel hire rate (euro/day)</t>
  </si>
  <si>
    <t>Rate varies from 2500-4500 euro/day, depending on vessel capacity and market conditions</t>
  </si>
  <si>
    <t>main bunker cost (euro/mt)</t>
  </si>
  <si>
    <t>3.2 Enter main bunker cost (euro/mt)</t>
  </si>
  <si>
    <t>10-13 mt/daty, varying with fuel type, for market variation see www.bunkerworld.com (covered by retroactive bunker clauses in CP)</t>
  </si>
  <si>
    <t>auxiliary bunker cost (euro/mt)</t>
  </si>
  <si>
    <t>3.3 Enter auxliary bunker cost (euro/mt) while in port</t>
  </si>
  <si>
    <t>1 mt/day</t>
  </si>
  <si>
    <t>Port charges PoL (euro)</t>
  </si>
  <si>
    <t>3.4 Enter sum port costs (pilotage, fairway and harbour fees)</t>
  </si>
  <si>
    <t>Details provided by each individual port</t>
  </si>
  <si>
    <t>Port charges PoD (euro)</t>
  </si>
  <si>
    <t>Main bunker consumption while steaming (mt/day)</t>
  </si>
  <si>
    <t>3.5 Enter main bunker consumption while steaming with cargo (mt/day)</t>
  </si>
  <si>
    <t>10-13 mt/day depending on fuel type, vessel displacement and speed</t>
  </si>
  <si>
    <t>Aux. bunker consumption in port (mt/day)</t>
  </si>
  <si>
    <t>Voyage costs</t>
  </si>
  <si>
    <t>TC-hire (sum days *dayrate)</t>
  </si>
  <si>
    <t>Bunker main</t>
  </si>
  <si>
    <t>Bunker aux</t>
  </si>
  <si>
    <t>Port costs</t>
  </si>
  <si>
    <t>Sum costs/voyage (euro)</t>
  </si>
  <si>
    <t>Sum cost/m3 (euro/m3)</t>
  </si>
  <si>
    <t>Estimated freight cost per m3sub (excluding broker fees, VAT, etc.)</t>
  </si>
  <si>
    <t>sum cost    euro/m3/km</t>
  </si>
  <si>
    <t>conversion factor;   ton per m3sub</t>
  </si>
  <si>
    <t>sum cost   euro/t/km</t>
  </si>
  <si>
    <t>Costing models for road, rail and sea transport of roundwood</t>
  </si>
  <si>
    <t>D. Cost calculation model for short-sea shipping of roundwood</t>
  </si>
  <si>
    <t>B2. Cost calculation model for road transport of roundwood by timber truck - distance distribution model</t>
  </si>
  <si>
    <t>B1. Cost calculation model for road transport of roundwood by timber truck - distance distribution model</t>
  </si>
  <si>
    <t>A. Cost calculation model for road transport of roundwood by timber truck - average distance model</t>
  </si>
  <si>
    <t xml:space="preserve">C. Cost calculation model for rail transport of roundwood </t>
  </si>
  <si>
    <t>In following sheets costing models for road, rail and sea transports are available.</t>
  </si>
  <si>
    <t>For road transports, costing model includes two types of approaches:</t>
  </si>
  <si>
    <t>A. Cost accounting with the average transport distance (traditional costing model)</t>
  </si>
  <si>
    <t xml:space="preserve">As an output, key performance indicators for costing include costs per tonne, per km, per tonne-kilometre, per load, per hour and per year. The models enable sensitivity analysis </t>
  </si>
  <si>
    <t xml:space="preserve">and direct comparison of transport costs between e.g. alternative supply chains, transport modes and countries of interest. </t>
  </si>
  <si>
    <t>In addition, models can be used for calculating performance indicators of transports such as annual working hours, loads, transported tons of timber, transport distances etc.</t>
  </si>
  <si>
    <t>B. Cost accounting with the transport distance distribution</t>
  </si>
  <si>
    <t>h2a. Repair and service (Option 2), €/km</t>
  </si>
  <si>
    <t>Vehicle costs (Profit margin excluded), €/year</t>
  </si>
  <si>
    <t>Supplementary average and sum values</t>
  </si>
  <si>
    <t xml:space="preserve">   h16. Hours of driving unloaded</t>
  </si>
  <si>
    <t xml:space="preserve">   h15.  Hours of driving loaded</t>
  </si>
  <si>
    <t xml:space="preserve">   h17.  Hours of driving between decks</t>
  </si>
  <si>
    <t>cost assessments for material transportations with specialities of each transport mode. Models are aimed at calculating the operating costs of roundwood transports either on</t>
  </si>
  <si>
    <t xml:space="preserve"> a yearly basis as for road and rail transports or on a voyage basis as for sea transports.</t>
  </si>
  <si>
    <t xml:space="preserve">Costing models have been developed by NB Nord co-operation with Road and Transport group. In general, the NB Nord costing models follow classical </t>
  </si>
  <si>
    <t>Produced by NB Nord - Road and Transport group</t>
  </si>
  <si>
    <t>Road  and Transport -focusarea work</t>
  </si>
  <si>
    <t>&lt;-- formula corrected in 9.6.2021</t>
  </si>
  <si>
    <t>Model version 09062021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</si>
</sst>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0.000"/>
    <numFmt numFmtId="165" formatCode="#,##0.0"/>
    <numFmt numFmtId="166" formatCode="0.0"/>
    <numFmt numFmtId="167" formatCode="0.000"/>
    <numFmt numFmtId="168" formatCode="#,##0.0000"/>
    <numFmt numFmtId="169" formatCode="#,##0.00000"/>
    <numFmt numFmtId="170" formatCode="_ * #,##0.00_ ;_ * \-#,##0.00_ ;_ * &quot;-&quot;??_ ;_ @_ "/>
    <numFmt numFmtId="171" formatCode="0.0000"/>
    <numFmt numFmtId="172" formatCode="_ * #,##0_ ;_ * \-#,##0_ ;_ * &quot;-&quot;??_ ;_ @_ "/>
    <numFmt numFmtId="173" formatCode="_ * #,##0.0000_ ;_ * \-#,##0.0000_ ;_ * &quot;-&quot;??_ ;_ @_ "/>
    <numFmt numFmtId="174" formatCode="_ * #,##0_ ;_ * \-#,##0_ ;_ * &quot;-&quot;???_ ;_ @_ "/>
    <numFmt numFmtId="175" formatCode="0.0\ %"/>
    <numFmt numFmtId="176" formatCode="_-* #,##0.000_-;\-* #,##0.000_-;_-* &quot;-&quot;???_-;_-@_-"/>
  </numFmts>
  <fonts count="26" x14ac:knownFonts="1">
    <font>
      <sz val="11"/>
      <color theme="1"/>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
      <b/>
      <i/>
      <sz val="11"/>
      <color theme="1"/>
      <name val="Calibri"/>
      <family val="2"/>
      <scheme val="minor"/>
    </font>
    <font>
      <sz val="9"/>
      <color indexed="81"/>
      <name val="Tahoma"/>
      <family val="2"/>
    </font>
    <font>
      <b/>
      <sz val="9"/>
      <color indexed="81"/>
      <name val="Tahoma"/>
      <family val="2"/>
    </font>
    <font>
      <sz val="11"/>
      <color rgb="FFFF0000"/>
      <name val="Calibri"/>
      <family val="2"/>
      <scheme val="minor"/>
    </font>
    <font>
      <b/>
      <sz val="16"/>
      <color theme="1"/>
      <name val="Calibri"/>
      <family val="2"/>
      <scheme val="minor"/>
    </font>
    <font>
      <sz val="11"/>
      <name val="Calibri"/>
      <family val="2"/>
      <scheme val="minor"/>
    </font>
    <font>
      <sz val="11"/>
      <color theme="1"/>
      <name val="Calibri"/>
      <family val="2"/>
      <scheme val="minor"/>
    </font>
    <font>
      <sz val="11"/>
      <color theme="0"/>
      <name val="Calibri"/>
      <family val="2"/>
      <scheme val="minor"/>
    </font>
    <font>
      <sz val="12"/>
      <color theme="1"/>
      <name val="Calibri"/>
      <family val="2"/>
      <scheme val="minor"/>
    </font>
    <font>
      <b/>
      <sz val="26"/>
      <color theme="1"/>
      <name val="Calibri"/>
      <family val="2"/>
      <scheme val="minor"/>
    </font>
    <font>
      <i/>
      <sz val="11"/>
      <color theme="0"/>
      <name val="Calibri"/>
      <family val="2"/>
      <scheme val="minor"/>
    </font>
    <font>
      <sz val="10"/>
      <color theme="1"/>
      <name val="Calibri"/>
      <family val="2"/>
      <scheme val="minor"/>
    </font>
    <font>
      <i/>
      <sz val="11"/>
      <name val="Calibri"/>
      <family val="2"/>
      <scheme val="minor"/>
    </font>
    <font>
      <sz val="9"/>
      <color indexed="81"/>
      <name val="Tahoma"/>
      <charset val="1"/>
    </font>
    <font>
      <b/>
      <sz val="9"/>
      <color indexed="81"/>
      <name val="Tahoma"/>
      <charset val="1"/>
    </font>
    <font>
      <i/>
      <sz val="18"/>
      <color theme="1"/>
      <name val="Calibri"/>
      <family val="2"/>
      <scheme val="minor"/>
    </font>
    <font>
      <b/>
      <sz val="12"/>
      <color theme="1"/>
      <name val="Calibri"/>
      <family val="2"/>
      <scheme val="minor"/>
    </font>
    <font>
      <sz val="9"/>
      <color theme="1"/>
      <name val="Calibri"/>
      <family val="2"/>
      <scheme val="minor"/>
    </font>
    <font>
      <b/>
      <i/>
      <sz val="14"/>
      <color theme="1"/>
      <name val="Calibri"/>
      <family val="2"/>
      <scheme val="minor"/>
    </font>
    <font>
      <u/>
      <sz val="11"/>
      <color theme="10"/>
      <name val="Calibri"/>
      <family val="2"/>
      <scheme val="minor"/>
    </font>
    <font>
      <vertAlign val="subscript"/>
      <sz val="11"/>
      <color theme="1"/>
      <name val="Calibri"/>
      <family val="2"/>
      <scheme val="minor"/>
    </font>
    <font>
      <b/>
      <sz val="22"/>
      <color theme="1"/>
      <name val="Calibri"/>
      <family val="2"/>
      <scheme val="minor"/>
    </font>
  </fonts>
  <fills count="15">
    <fill>
      <patternFill patternType="none"/>
    </fill>
    <fill>
      <patternFill patternType="gray125"/>
    </fill>
    <fill>
      <patternFill patternType="solid">
        <fgColor theme="6" tint="0.59999389629810485"/>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6" tint="-0.249977111117893"/>
        <bgColor indexed="64"/>
      </patternFill>
    </fill>
    <fill>
      <patternFill patternType="solid">
        <fgColor theme="0"/>
        <bgColor indexed="64"/>
      </patternFill>
    </fill>
    <fill>
      <patternFill patternType="solid">
        <fgColor theme="6" tint="-0.499984740745262"/>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rgb="FF92D050"/>
        <bgColor indexed="64"/>
      </patternFill>
    </fill>
    <fill>
      <patternFill patternType="solid">
        <fgColor theme="8" tint="-0.249977111117893"/>
        <bgColor indexed="64"/>
      </patternFill>
    </fill>
  </fills>
  <borders count="24">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3" fontId="10" fillId="0" borderId="0" applyFont="0" applyFill="0" applyBorder="0" applyAlignment="0" applyProtection="0"/>
    <xf numFmtId="9" fontId="10" fillId="0" borderId="0" applyFont="0" applyFill="0" applyBorder="0" applyAlignment="0" applyProtection="0"/>
    <xf numFmtId="170" fontId="10" fillId="0" borderId="0" applyFont="0" applyFill="0" applyBorder="0" applyAlignment="0" applyProtection="0"/>
    <xf numFmtId="0" fontId="23" fillId="0" borderId="0" applyNumberFormat="0" applyFill="0" applyBorder="0" applyAlignment="0" applyProtection="0"/>
  </cellStyleXfs>
  <cellXfs count="362">
    <xf numFmtId="0" fontId="0" fillId="0" borderId="0" xfId="0"/>
    <xf numFmtId="0" fontId="0" fillId="0" borderId="0" xfId="0" applyAlignment="1">
      <alignment horizontal="left" indent="1"/>
    </xf>
    <xf numFmtId="0" fontId="0" fillId="0" borderId="0" xfId="0" applyAlignment="1">
      <alignment horizontal="left"/>
    </xf>
    <xf numFmtId="0" fontId="2" fillId="0" borderId="0" xfId="0" applyFont="1" applyAlignment="1">
      <alignment horizontal="left"/>
    </xf>
    <xf numFmtId="0" fontId="1" fillId="0" borderId="0" xfId="0" applyFont="1"/>
    <xf numFmtId="0" fontId="3" fillId="0" borderId="0" xfId="0" applyFont="1"/>
    <xf numFmtId="0" fontId="1" fillId="0" borderId="0" xfId="0" applyFont="1" applyAlignment="1">
      <alignment horizontal="left"/>
    </xf>
    <xf numFmtId="0" fontId="0" fillId="0" borderId="0" xfId="0" applyFill="1"/>
    <xf numFmtId="0" fontId="4" fillId="0" borderId="0" xfId="0" applyFont="1" applyFill="1" applyAlignment="1">
      <alignment horizontal="left"/>
    </xf>
    <xf numFmtId="0" fontId="0" fillId="0" borderId="0" xfId="0" applyFont="1" applyAlignment="1">
      <alignment horizontal="left" indent="1"/>
    </xf>
    <xf numFmtId="0" fontId="4" fillId="0" borderId="0" xfId="0" applyFont="1" applyAlignment="1">
      <alignment horizontal="left"/>
    </xf>
    <xf numFmtId="0" fontId="0" fillId="0" borderId="0" xfId="0" applyFill="1" applyAlignment="1">
      <alignment horizontal="left" indent="2"/>
    </xf>
    <xf numFmtId="0" fontId="0" fillId="0" borderId="0" xfId="0" applyAlignment="1">
      <alignment horizontal="left" indent="2"/>
    </xf>
    <xf numFmtId="0" fontId="0" fillId="3" borderId="0" xfId="0" applyFill="1" applyAlignment="1">
      <alignment horizontal="left"/>
    </xf>
    <xf numFmtId="0" fontId="0" fillId="3" borderId="0" xfId="0" applyFill="1" applyAlignment="1">
      <alignment horizontal="left" indent="2"/>
    </xf>
    <xf numFmtId="0" fontId="0" fillId="0" borderId="0" xfId="0" applyFont="1" applyFill="1"/>
    <xf numFmtId="0" fontId="0" fillId="0" borderId="0" xfId="0" applyFill="1"/>
    <xf numFmtId="0" fontId="1" fillId="0" borderId="0" xfId="0" applyFont="1" applyFill="1"/>
    <xf numFmtId="0" fontId="1" fillId="0" borderId="0" xfId="0" applyFont="1" applyFill="1" applyAlignment="1">
      <alignment horizontal="left"/>
    </xf>
    <xf numFmtId="0" fontId="4" fillId="0" borderId="0" xfId="0" applyFont="1" applyFill="1"/>
    <xf numFmtId="165" fontId="0" fillId="0" borderId="0" xfId="0" applyNumberFormat="1" applyAlignment="1">
      <alignment horizontal="center"/>
    </xf>
    <xf numFmtId="0" fontId="0" fillId="0" borderId="0" xfId="0" applyAlignment="1">
      <alignment horizontal="center"/>
    </xf>
    <xf numFmtId="3" fontId="0" fillId="5" borderId="0" xfId="0" applyNumberFormat="1" applyFill="1" applyAlignment="1">
      <alignment horizontal="center"/>
    </xf>
    <xf numFmtId="165" fontId="0" fillId="5" borderId="0" xfId="0" applyNumberFormat="1" applyFill="1" applyAlignment="1">
      <alignment horizontal="center"/>
    </xf>
    <xf numFmtId="165" fontId="0" fillId="0" borderId="0" xfId="0" applyNumberFormat="1" applyFill="1" applyAlignment="1">
      <alignment horizontal="center"/>
    </xf>
    <xf numFmtId="165" fontId="2" fillId="2" borderId="0" xfId="0" applyNumberFormat="1" applyFont="1" applyFill="1" applyAlignment="1">
      <alignment horizontal="center"/>
    </xf>
    <xf numFmtId="165" fontId="4" fillId="2" borderId="0" xfId="0" applyNumberFormat="1" applyFont="1" applyFill="1" applyAlignment="1">
      <alignment horizontal="center"/>
    </xf>
    <xf numFmtId="165" fontId="4" fillId="0" borderId="0" xfId="0" applyNumberFormat="1" applyFont="1" applyFill="1" applyAlignment="1">
      <alignment horizontal="center"/>
    </xf>
    <xf numFmtId="4" fontId="2" fillId="2" borderId="0" xfId="0" applyNumberFormat="1" applyFont="1" applyFill="1" applyAlignment="1">
      <alignment horizontal="center"/>
    </xf>
    <xf numFmtId="3" fontId="2" fillId="2" borderId="0" xfId="0" applyNumberFormat="1" applyFont="1" applyFill="1" applyAlignment="1">
      <alignment horizontal="center"/>
    </xf>
    <xf numFmtId="165" fontId="2" fillId="0" borderId="0" xfId="0" applyNumberFormat="1" applyFont="1" applyFill="1" applyAlignment="1">
      <alignment horizontal="center"/>
    </xf>
    <xf numFmtId="0" fontId="0" fillId="5" borderId="0" xfId="0" applyFill="1" applyAlignment="1">
      <alignment horizontal="center"/>
    </xf>
    <xf numFmtId="0" fontId="0" fillId="0" borderId="0" xfId="0" applyFill="1" applyAlignment="1">
      <alignment horizontal="center"/>
    </xf>
    <xf numFmtId="165" fontId="1" fillId="0" borderId="0" xfId="0" applyNumberFormat="1" applyFont="1" applyFill="1" applyAlignment="1">
      <alignment horizontal="center"/>
    </xf>
    <xf numFmtId="165" fontId="0" fillId="2" borderId="0" xfId="0" applyNumberFormat="1" applyFill="1" applyAlignment="1">
      <alignment horizontal="center"/>
    </xf>
    <xf numFmtId="2" fontId="0" fillId="5" borderId="0" xfId="0" applyNumberFormat="1" applyFill="1" applyAlignment="1">
      <alignment horizontal="center"/>
    </xf>
    <xf numFmtId="165" fontId="0" fillId="4" borderId="0" xfId="0" applyNumberFormat="1" applyFill="1" applyAlignment="1">
      <alignment horizontal="center"/>
    </xf>
    <xf numFmtId="165" fontId="1" fillId="4" borderId="0" xfId="0" applyNumberFormat="1" applyFont="1" applyFill="1" applyAlignment="1">
      <alignment horizontal="center"/>
    </xf>
    <xf numFmtId="164" fontId="0" fillId="4" borderId="0" xfId="0" applyNumberFormat="1" applyFill="1" applyAlignment="1">
      <alignment horizontal="center"/>
    </xf>
    <xf numFmtId="165" fontId="0" fillId="4" borderId="0" xfId="0" applyNumberFormat="1" applyFont="1" applyFill="1" applyAlignment="1">
      <alignment horizontal="center"/>
    </xf>
    <xf numFmtId="0" fontId="0" fillId="0" borderId="0" xfId="0" applyFill="1" applyBorder="1"/>
    <xf numFmtId="0" fontId="0" fillId="0" borderId="0" xfId="0" applyFont="1" applyFill="1" applyBorder="1" applyAlignment="1">
      <alignment horizontal="left" indent="1"/>
    </xf>
    <xf numFmtId="0" fontId="0" fillId="0" borderId="0" xfId="0" applyFont="1" applyFill="1" applyAlignment="1">
      <alignment horizontal="left" indent="1"/>
    </xf>
    <xf numFmtId="165" fontId="4" fillId="4" borderId="0" xfId="0" applyNumberFormat="1" applyFont="1" applyFill="1" applyAlignment="1">
      <alignment horizontal="center"/>
    </xf>
    <xf numFmtId="164" fontId="4" fillId="4" borderId="0" xfId="0" applyNumberFormat="1" applyFont="1" applyFill="1" applyAlignment="1">
      <alignment horizontal="center"/>
    </xf>
    <xf numFmtId="0" fontId="4" fillId="0" borderId="0" xfId="0" applyFont="1"/>
    <xf numFmtId="4" fontId="4" fillId="4" borderId="0" xfId="0" applyNumberFormat="1" applyFont="1" applyFill="1" applyAlignment="1">
      <alignment horizontal="center"/>
    </xf>
    <xf numFmtId="3" fontId="4" fillId="4" borderId="0" xfId="0" applyNumberFormat="1" applyFont="1" applyFill="1" applyAlignment="1">
      <alignment horizontal="center"/>
    </xf>
    <xf numFmtId="165" fontId="1" fillId="6" borderId="0" xfId="0" applyNumberFormat="1" applyFont="1" applyFill="1" applyAlignment="1">
      <alignment horizontal="left"/>
    </xf>
    <xf numFmtId="165" fontId="0" fillId="6" borderId="0" xfId="0" applyNumberFormat="1" applyFill="1" applyAlignment="1">
      <alignment horizontal="center"/>
    </xf>
    <xf numFmtId="165" fontId="1" fillId="2" borderId="0" xfId="0" applyNumberFormat="1" applyFont="1" applyFill="1" applyAlignment="1">
      <alignment horizontal="left"/>
    </xf>
    <xf numFmtId="0" fontId="0" fillId="0" borderId="0" xfId="0"/>
    <xf numFmtId="0" fontId="8" fillId="0" borderId="0" xfId="0" applyFont="1"/>
    <xf numFmtId="0" fontId="1" fillId="0" borderId="0" xfId="0" applyFont="1"/>
    <xf numFmtId="0" fontId="1" fillId="0" borderId="0" xfId="0" applyFont="1"/>
    <xf numFmtId="0" fontId="0" fillId="0" borderId="0" xfId="0" applyFill="1"/>
    <xf numFmtId="0" fontId="0" fillId="0" borderId="0" xfId="0" applyFont="1" applyFill="1"/>
    <xf numFmtId="0" fontId="0" fillId="2" borderId="0" xfId="0" applyFill="1"/>
    <xf numFmtId="0" fontId="0" fillId="6" borderId="0" xfId="0" applyFill="1"/>
    <xf numFmtId="165" fontId="0" fillId="0" borderId="0" xfId="0" applyNumberFormat="1"/>
    <xf numFmtId="165" fontId="1" fillId="2" borderId="0" xfId="0" applyNumberFormat="1" applyFont="1" applyFill="1" applyAlignment="1">
      <alignment horizontal="center"/>
    </xf>
    <xf numFmtId="165" fontId="1" fillId="8" borderId="0" xfId="0" applyNumberFormat="1" applyFont="1" applyFill="1" applyAlignment="1">
      <alignment horizontal="center"/>
    </xf>
    <xf numFmtId="165" fontId="0" fillId="8" borderId="0" xfId="0" applyNumberFormat="1" applyFill="1" applyAlignment="1">
      <alignment horizontal="center"/>
    </xf>
    <xf numFmtId="4" fontId="2" fillId="8" borderId="0" xfId="0" applyNumberFormat="1" applyFont="1" applyFill="1" applyAlignment="1">
      <alignment horizontal="center"/>
    </xf>
    <xf numFmtId="4" fontId="4" fillId="2" borderId="0" xfId="0" applyNumberFormat="1" applyFont="1" applyFill="1" applyAlignment="1">
      <alignment horizontal="center"/>
    </xf>
    <xf numFmtId="3" fontId="1" fillId="0" borderId="0" xfId="0" applyNumberFormat="1" applyFont="1" applyAlignment="1">
      <alignment horizontal="center"/>
    </xf>
    <xf numFmtId="1" fontId="1" fillId="2" borderId="0" xfId="0" applyNumberFormat="1" applyFont="1" applyFill="1"/>
    <xf numFmtId="0" fontId="0" fillId="0" borderId="0" xfId="0" applyAlignment="1">
      <alignment horizontal="right"/>
    </xf>
    <xf numFmtId="0" fontId="0" fillId="0" borderId="0" xfId="0" applyAlignment="1">
      <alignment horizontal="right" indent="2"/>
    </xf>
    <xf numFmtId="0" fontId="1" fillId="0" borderId="0" xfId="0" applyFont="1" applyAlignment="1">
      <alignment horizontal="right" indent="2"/>
    </xf>
    <xf numFmtId="0" fontId="0" fillId="0" borderId="0" xfId="0" applyFont="1"/>
    <xf numFmtId="0" fontId="0" fillId="0" borderId="0" xfId="0" quotePrefix="1" applyFont="1" applyAlignment="1">
      <alignment horizontal="center"/>
    </xf>
    <xf numFmtId="0" fontId="0" fillId="0" borderId="0" xfId="0" applyFont="1" applyAlignment="1">
      <alignment horizontal="center"/>
    </xf>
    <xf numFmtId="165" fontId="0" fillId="5" borderId="0" xfId="0" applyNumberFormat="1" applyFont="1" applyFill="1" applyAlignment="1">
      <alignment horizontal="center"/>
    </xf>
    <xf numFmtId="165" fontId="1" fillId="5" borderId="0" xfId="0" applyNumberFormat="1" applyFont="1" applyFill="1" applyAlignment="1">
      <alignment horizontal="center"/>
    </xf>
    <xf numFmtId="165" fontId="9" fillId="5" borderId="0" xfId="0" applyNumberFormat="1" applyFont="1" applyFill="1" applyAlignment="1">
      <alignment horizontal="center"/>
    </xf>
    <xf numFmtId="0" fontId="0" fillId="0" borderId="0" xfId="0"/>
    <xf numFmtId="0" fontId="1" fillId="0" borderId="0" xfId="0" applyFont="1"/>
    <xf numFmtId="0" fontId="0" fillId="0" borderId="0" xfId="0" applyFill="1"/>
    <xf numFmtId="0" fontId="0" fillId="0" borderId="0" xfId="0" applyFill="1" applyAlignment="1">
      <alignment horizontal="left" indent="2"/>
    </xf>
    <xf numFmtId="0" fontId="1" fillId="0" borderId="0" xfId="0" applyFont="1" applyFill="1"/>
    <xf numFmtId="165" fontId="0" fillId="5" borderId="0" xfId="0" applyNumberFormat="1" applyFill="1" applyAlignment="1">
      <alignment horizontal="center"/>
    </xf>
    <xf numFmtId="4" fontId="0" fillId="5" borderId="0" xfId="0" applyNumberFormat="1" applyFill="1" applyAlignment="1">
      <alignment horizontal="center"/>
    </xf>
    <xf numFmtId="166" fontId="0" fillId="0" borderId="0" xfId="0" applyNumberFormat="1"/>
    <xf numFmtId="0" fontId="1" fillId="2" borderId="0" xfId="0" applyFont="1" applyFill="1" applyAlignment="1">
      <alignment horizontal="center"/>
    </xf>
    <xf numFmtId="165" fontId="2" fillId="5" borderId="0" xfId="0" applyNumberFormat="1" applyFont="1" applyFill="1" applyAlignment="1">
      <alignment horizontal="center"/>
    </xf>
    <xf numFmtId="3" fontId="2" fillId="5" borderId="0" xfId="0" applyNumberFormat="1" applyFont="1" applyFill="1" applyAlignment="1">
      <alignment horizontal="center"/>
    </xf>
    <xf numFmtId="0" fontId="0" fillId="0" borderId="0" xfId="0" applyFont="1" applyFill="1" applyAlignment="1">
      <alignment horizontal="center"/>
    </xf>
    <xf numFmtId="0" fontId="1" fillId="0" borderId="0" xfId="0" applyFont="1" applyFill="1" applyAlignment="1">
      <alignment horizontal="center"/>
    </xf>
    <xf numFmtId="3" fontId="0" fillId="0" borderId="0" xfId="0" applyNumberFormat="1" applyFill="1"/>
    <xf numFmtId="1" fontId="1" fillId="0" borderId="0" xfId="0" applyNumberFormat="1" applyFont="1" applyFill="1"/>
    <xf numFmtId="165" fontId="0" fillId="0" borderId="0" xfId="0" applyNumberFormat="1" applyFill="1"/>
    <xf numFmtId="4" fontId="0" fillId="0" borderId="0" xfId="0" applyNumberFormat="1" applyFill="1" applyAlignment="1">
      <alignment horizontal="center"/>
    </xf>
    <xf numFmtId="4" fontId="2" fillId="0" borderId="0" xfId="0" applyNumberFormat="1" applyFont="1" applyFill="1" applyAlignment="1">
      <alignment horizontal="center"/>
    </xf>
    <xf numFmtId="3" fontId="2" fillId="0" borderId="0" xfId="0" applyNumberFormat="1" applyFont="1" applyFill="1" applyAlignment="1">
      <alignment horizontal="center"/>
    </xf>
    <xf numFmtId="3" fontId="1" fillId="0" borderId="0" xfId="0" applyNumberFormat="1" applyFont="1" applyFill="1"/>
    <xf numFmtId="4" fontId="0" fillId="0" borderId="0" xfId="0" applyNumberFormat="1" applyFill="1"/>
    <xf numFmtId="0" fontId="2" fillId="0" borderId="0" xfId="0" applyFont="1" applyFill="1"/>
    <xf numFmtId="166" fontId="0" fillId="0" borderId="0" xfId="0" applyNumberFormat="1" applyFill="1"/>
    <xf numFmtId="2" fontId="0" fillId="0" borderId="0" xfId="0" applyNumberFormat="1" applyFill="1"/>
    <xf numFmtId="166" fontId="1" fillId="0" borderId="0" xfId="0" applyNumberFormat="1" applyFont="1" applyFill="1"/>
    <xf numFmtId="2" fontId="1" fillId="0" borderId="0" xfId="0" applyNumberFormat="1" applyFont="1" applyFill="1"/>
    <xf numFmtId="0" fontId="0" fillId="0" borderId="0" xfId="0" applyFill="1" applyAlignment="1">
      <alignment horizontal="right"/>
    </xf>
    <xf numFmtId="0" fontId="1" fillId="8" borderId="0" xfId="0" applyFont="1" applyFill="1" applyAlignment="1">
      <alignment horizontal="center"/>
    </xf>
    <xf numFmtId="165" fontId="1" fillId="8" borderId="0" xfId="0" applyNumberFormat="1" applyFont="1" applyFill="1"/>
    <xf numFmtId="3" fontId="1" fillId="8" borderId="0" xfId="0" applyNumberFormat="1" applyFont="1" applyFill="1"/>
    <xf numFmtId="4" fontId="1" fillId="8" borderId="0" xfId="0" applyNumberFormat="1" applyFont="1" applyFill="1"/>
    <xf numFmtId="166" fontId="1" fillId="8" borderId="0" xfId="0" applyNumberFormat="1" applyFont="1" applyFill="1"/>
    <xf numFmtId="3" fontId="1" fillId="0" borderId="0" xfId="0" applyNumberFormat="1" applyFont="1" applyFill="1" applyAlignment="1">
      <alignment horizontal="right"/>
    </xf>
    <xf numFmtId="164" fontId="4" fillId="2" borderId="0" xfId="0" applyNumberFormat="1" applyFont="1" applyFill="1" applyAlignment="1">
      <alignment horizontal="center"/>
    </xf>
    <xf numFmtId="0" fontId="0" fillId="9" borderId="0" xfId="0" applyFill="1"/>
    <xf numFmtId="0" fontId="13" fillId="9" borderId="0" xfId="0" applyFont="1" applyFill="1" applyAlignment="1">
      <alignment horizontal="center"/>
    </xf>
    <xf numFmtId="0" fontId="3" fillId="9" borderId="0" xfId="0" applyFont="1" applyFill="1"/>
    <xf numFmtId="0" fontId="3" fillId="9" borderId="0" xfId="0" applyFont="1" applyFill="1" applyAlignment="1">
      <alignment horizontal="center"/>
    </xf>
    <xf numFmtId="0" fontId="0" fillId="9" borderId="0" xfId="0" applyFill="1" applyAlignment="1">
      <alignment horizontal="center"/>
    </xf>
    <xf numFmtId="166" fontId="11" fillId="0" borderId="0" xfId="0" applyNumberFormat="1" applyFont="1"/>
    <xf numFmtId="3" fontId="1" fillId="2" borderId="0" xfId="0" applyNumberFormat="1" applyFont="1" applyFill="1" applyAlignment="1">
      <alignment horizontal="center"/>
    </xf>
    <xf numFmtId="4" fontId="1" fillId="2" borderId="0" xfId="0" applyNumberFormat="1" applyFont="1" applyFill="1" applyAlignment="1">
      <alignment horizontal="center"/>
    </xf>
    <xf numFmtId="0" fontId="14" fillId="0" borderId="0" xfId="0" applyFont="1" applyFill="1"/>
    <xf numFmtId="166" fontId="0" fillId="2" borderId="0" xfId="0" applyNumberFormat="1" applyFill="1"/>
    <xf numFmtId="2" fontId="0" fillId="2" borderId="0" xfId="0" applyNumberFormat="1" applyFill="1"/>
    <xf numFmtId="166" fontId="1" fillId="2" borderId="0" xfId="0" applyNumberFormat="1" applyFont="1" applyFill="1"/>
    <xf numFmtId="2" fontId="1" fillId="2" borderId="0" xfId="0" applyNumberFormat="1" applyFont="1" applyFill="1"/>
    <xf numFmtId="3" fontId="1" fillId="2" borderId="0" xfId="0" applyNumberFormat="1" applyFont="1" applyFill="1"/>
    <xf numFmtId="0" fontId="4" fillId="0" borderId="0" xfId="0" applyFont="1" applyFill="1" applyAlignment="1">
      <alignment horizontal="right" indent="2"/>
    </xf>
    <xf numFmtId="166" fontId="1" fillId="0" borderId="0" xfId="0" applyNumberFormat="1" applyFont="1" applyFill="1" applyAlignment="1">
      <alignment horizontal="center"/>
    </xf>
    <xf numFmtId="0" fontId="1" fillId="9" borderId="0" xfId="0" applyFont="1" applyFill="1"/>
    <xf numFmtId="3" fontId="1" fillId="5" borderId="2" xfId="0" applyNumberFormat="1" applyFont="1" applyFill="1" applyBorder="1" applyAlignment="1">
      <alignment horizontal="center"/>
    </xf>
    <xf numFmtId="0" fontId="0" fillId="2" borderId="0" xfId="0" applyFill="1" applyAlignment="1">
      <alignment horizontal="center"/>
    </xf>
    <xf numFmtId="0" fontId="11" fillId="9" borderId="0" xfId="0" applyFont="1" applyFill="1"/>
    <xf numFmtId="0" fontId="2" fillId="9" borderId="0" xfId="0" applyFont="1" applyFill="1"/>
    <xf numFmtId="0" fontId="1" fillId="0" borderId="0" xfId="0" applyFont="1" applyAlignment="1">
      <alignment horizontal="right"/>
    </xf>
    <xf numFmtId="0" fontId="0" fillId="8" borderId="3" xfId="0" applyFill="1" applyBorder="1"/>
    <xf numFmtId="0" fontId="1" fillId="8" borderId="4" xfId="0" applyFont="1" applyFill="1" applyBorder="1" applyAlignment="1">
      <alignment horizontal="right"/>
    </xf>
    <xf numFmtId="3" fontId="1" fillId="8" borderId="4" xfId="0" applyNumberFormat="1" applyFont="1" applyFill="1" applyBorder="1"/>
    <xf numFmtId="0" fontId="1" fillId="8" borderId="5" xfId="0" applyFont="1" applyFill="1" applyBorder="1" applyAlignment="1">
      <alignment horizontal="left"/>
    </xf>
    <xf numFmtId="0" fontId="0" fillId="8" borderId="6" xfId="0" applyFill="1" applyBorder="1"/>
    <xf numFmtId="0" fontId="1" fillId="8" borderId="7" xfId="0" applyFont="1" applyFill="1" applyBorder="1" applyAlignment="1">
      <alignment horizontal="right"/>
    </xf>
    <xf numFmtId="165" fontId="1" fillId="8" borderId="7" xfId="0" applyNumberFormat="1" applyFont="1" applyFill="1" applyBorder="1"/>
    <xf numFmtId="165" fontId="1" fillId="8" borderId="8" xfId="0" applyNumberFormat="1" applyFont="1" applyFill="1" applyBorder="1" applyAlignment="1">
      <alignment horizontal="left"/>
    </xf>
    <xf numFmtId="166" fontId="1" fillId="8" borderId="0" xfId="0" applyNumberFormat="1" applyFont="1" applyFill="1" applyAlignment="1">
      <alignment horizontal="center"/>
    </xf>
    <xf numFmtId="0" fontId="0" fillId="0" borderId="0" xfId="0" quotePrefix="1"/>
    <xf numFmtId="2" fontId="0" fillId="4" borderId="0" xfId="0" applyNumberFormat="1" applyFill="1"/>
    <xf numFmtId="0" fontId="15" fillId="0" borderId="0" xfId="0" applyFont="1" applyFill="1"/>
    <xf numFmtId="166" fontId="15" fillId="0" borderId="0" xfId="0" applyNumberFormat="1" applyFont="1" applyFill="1" applyAlignment="1">
      <alignment horizontal="center"/>
    </xf>
    <xf numFmtId="165" fontId="3" fillId="10" borderId="0" xfId="0" applyNumberFormat="1" applyFont="1" applyFill="1"/>
    <xf numFmtId="3" fontId="0" fillId="2" borderId="0" xfId="0" applyNumberFormat="1" applyFill="1"/>
    <xf numFmtId="165" fontId="9" fillId="0" borderId="0" xfId="0" applyNumberFormat="1" applyFont="1" applyFill="1" applyAlignment="1">
      <alignment horizontal="center"/>
    </xf>
    <xf numFmtId="4" fontId="9" fillId="5" borderId="0" xfId="0" applyNumberFormat="1" applyFont="1" applyFill="1" applyAlignment="1">
      <alignment horizontal="center"/>
    </xf>
    <xf numFmtId="3" fontId="16" fillId="5" borderId="0" xfId="0" applyNumberFormat="1" applyFont="1" applyFill="1" applyAlignment="1">
      <alignment horizontal="center"/>
    </xf>
    <xf numFmtId="0" fontId="0" fillId="0" borderId="0" xfId="0" applyFill="1" applyAlignment="1">
      <alignment horizontal="left"/>
    </xf>
    <xf numFmtId="0" fontId="1" fillId="2" borderId="1" xfId="0" applyFont="1" applyFill="1" applyBorder="1" applyAlignment="1">
      <alignment horizontal="center"/>
    </xf>
    <xf numFmtId="164" fontId="0" fillId="0" borderId="0" xfId="0" applyNumberFormat="1" applyFill="1" applyAlignment="1">
      <alignment horizontal="center"/>
    </xf>
    <xf numFmtId="167" fontId="0" fillId="0" borderId="0" xfId="0" applyNumberFormat="1"/>
    <xf numFmtId="168" fontId="0" fillId="0" borderId="0" xfId="0" applyNumberFormat="1" applyFill="1" applyAlignment="1">
      <alignment horizontal="center"/>
    </xf>
    <xf numFmtId="165" fontId="1" fillId="8" borderId="0" xfId="0" applyNumberFormat="1" applyFont="1" applyFill="1" applyAlignment="1">
      <alignment horizontal="left"/>
    </xf>
    <xf numFmtId="165" fontId="1" fillId="5" borderId="0" xfId="0" applyNumberFormat="1" applyFont="1" applyFill="1" applyAlignment="1">
      <alignment horizontal="left"/>
    </xf>
    <xf numFmtId="0" fontId="1" fillId="5" borderId="0" xfId="0" applyFont="1" applyFill="1" applyAlignment="1">
      <alignment horizontal="center"/>
    </xf>
    <xf numFmtId="165" fontId="0" fillId="2" borderId="0" xfId="0" applyNumberFormat="1" applyFont="1" applyFill="1" applyAlignment="1">
      <alignment horizontal="center"/>
    </xf>
    <xf numFmtId="1" fontId="0" fillId="2" borderId="0" xfId="0" applyNumberFormat="1" applyFill="1"/>
    <xf numFmtId="164" fontId="4" fillId="0" borderId="0" xfId="0" applyNumberFormat="1" applyFont="1" applyFill="1" applyAlignment="1">
      <alignment horizontal="center"/>
    </xf>
    <xf numFmtId="4" fontId="4" fillId="0" borderId="0" xfId="0" applyNumberFormat="1" applyFont="1" applyFill="1" applyAlignment="1">
      <alignment horizontal="center"/>
    </xf>
    <xf numFmtId="3" fontId="4" fillId="0" borderId="0" xfId="0" applyNumberFormat="1" applyFont="1" applyFill="1" applyAlignment="1">
      <alignment horizontal="center"/>
    </xf>
    <xf numFmtId="3" fontId="1" fillId="0" borderId="0" xfId="0" applyNumberFormat="1" applyFont="1" applyFill="1" applyAlignment="1">
      <alignment horizontal="center"/>
    </xf>
    <xf numFmtId="169" fontId="4" fillId="0" borderId="0" xfId="0" applyNumberFormat="1" applyFont="1" applyFill="1" applyAlignment="1">
      <alignment horizontal="center"/>
    </xf>
    <xf numFmtId="167" fontId="1" fillId="0" borderId="0" xfId="0" applyNumberFormat="1" applyFont="1" applyFill="1" applyAlignment="1">
      <alignment horizontal="center"/>
    </xf>
    <xf numFmtId="167" fontId="0" fillId="0" borderId="0" xfId="0" applyNumberFormat="1" applyFill="1"/>
    <xf numFmtId="0" fontId="1" fillId="0" borderId="0" xfId="0" applyFont="1" applyFill="1" applyBorder="1" applyAlignment="1">
      <alignment horizontal="center"/>
    </xf>
    <xf numFmtId="0" fontId="1" fillId="0" borderId="0" xfId="0" applyFont="1" applyFill="1" applyBorder="1" applyAlignment="1">
      <alignment horizontal="left"/>
    </xf>
    <xf numFmtId="2" fontId="0" fillId="0" borderId="0" xfId="0" applyNumberFormat="1" applyFill="1" applyBorder="1"/>
    <xf numFmtId="165" fontId="1" fillId="5" borderId="1" xfId="0" applyNumberFormat="1" applyFont="1" applyFill="1" applyBorder="1" applyAlignment="1">
      <alignment horizontal="center"/>
    </xf>
    <xf numFmtId="165" fontId="1" fillId="2" borderId="1" xfId="0" applyNumberFormat="1" applyFont="1" applyFill="1" applyBorder="1" applyAlignment="1">
      <alignment horizontal="center"/>
    </xf>
    <xf numFmtId="164" fontId="0" fillId="2" borderId="0" xfId="0" applyNumberFormat="1" applyFill="1" applyAlignment="1">
      <alignment horizontal="center"/>
    </xf>
    <xf numFmtId="3" fontId="4" fillId="2" borderId="0" xfId="0" applyNumberFormat="1" applyFont="1" applyFill="1" applyAlignment="1">
      <alignment horizontal="center"/>
    </xf>
    <xf numFmtId="165" fontId="2" fillId="8" borderId="0" xfId="0" applyNumberFormat="1" applyFont="1" applyFill="1" applyAlignment="1">
      <alignment horizontal="center"/>
    </xf>
    <xf numFmtId="165" fontId="9" fillId="8" borderId="0" xfId="0" applyNumberFormat="1" applyFont="1" applyFill="1" applyAlignment="1">
      <alignment horizontal="center"/>
    </xf>
    <xf numFmtId="2" fontId="4" fillId="5" borderId="0" xfId="0" applyNumberFormat="1" applyFont="1" applyFill="1"/>
    <xf numFmtId="3" fontId="3" fillId="7" borderId="0" xfId="0" applyNumberFormat="1" applyFont="1" applyFill="1" applyAlignment="1">
      <alignment horizontal="center"/>
    </xf>
    <xf numFmtId="0" fontId="12" fillId="0" borderId="0" xfId="0" applyFont="1" applyAlignment="1">
      <alignment horizontal="center"/>
    </xf>
    <xf numFmtId="0" fontId="12" fillId="0" borderId="0" xfId="0" applyFont="1" applyAlignment="1">
      <alignment horizontal="left"/>
    </xf>
    <xf numFmtId="4" fontId="0" fillId="4" borderId="0" xfId="0" applyNumberFormat="1" applyFill="1" applyAlignment="1">
      <alignment horizontal="center"/>
    </xf>
    <xf numFmtId="166" fontId="1" fillId="2" borderId="0" xfId="0" applyNumberFormat="1" applyFont="1" applyFill="1" applyAlignment="1">
      <alignment horizontal="center"/>
    </xf>
    <xf numFmtId="1" fontId="0" fillId="0" borderId="0" xfId="0" applyNumberFormat="1"/>
    <xf numFmtId="0" fontId="1" fillId="0" borderId="10" xfId="0" applyFont="1" applyBorder="1" applyAlignment="1">
      <alignment horizontal="center"/>
    </xf>
    <xf numFmtId="0" fontId="0" fillId="0" borderId="0" xfId="0"/>
    <xf numFmtId="172" fontId="0" fillId="0" borderId="0" xfId="0" applyNumberFormat="1"/>
    <xf numFmtId="0" fontId="0" fillId="11" borderId="9" xfId="0" applyFill="1" applyBorder="1"/>
    <xf numFmtId="0" fontId="0" fillId="11" borderId="10" xfId="0" applyFill="1" applyBorder="1"/>
    <xf numFmtId="0" fontId="0" fillId="11" borderId="11" xfId="0" applyFill="1" applyBorder="1"/>
    <xf numFmtId="0" fontId="0" fillId="11" borderId="13" xfId="0" applyFill="1" applyBorder="1"/>
    <xf numFmtId="0" fontId="0" fillId="11" borderId="14" xfId="0" applyFill="1" applyBorder="1"/>
    <xf numFmtId="0" fontId="3" fillId="0" borderId="0" xfId="0" applyFont="1"/>
    <xf numFmtId="0" fontId="3" fillId="0" borderId="0" xfId="0" applyFont="1" applyAlignment="1">
      <alignment horizontal="right"/>
    </xf>
    <xf numFmtId="0" fontId="0" fillId="0" borderId="10" xfId="0" applyBorder="1"/>
    <xf numFmtId="0" fontId="0" fillId="0" borderId="12" xfId="0" applyBorder="1"/>
    <xf numFmtId="0" fontId="0" fillId="0" borderId="11" xfId="0" applyBorder="1"/>
    <xf numFmtId="0" fontId="0" fillId="0" borderId="13" xfId="0" applyBorder="1"/>
    <xf numFmtId="0" fontId="0" fillId="0" borderId="14" xfId="0" applyBorder="1"/>
    <xf numFmtId="172" fontId="0" fillId="0" borderId="12" xfId="0" applyNumberFormat="1" applyBorder="1"/>
    <xf numFmtId="1" fontId="0" fillId="0" borderId="12" xfId="0" applyNumberFormat="1" applyBorder="1"/>
    <xf numFmtId="1" fontId="0" fillId="0" borderId="14" xfId="0" applyNumberFormat="1" applyBorder="1"/>
    <xf numFmtId="172" fontId="0" fillId="0" borderId="12" xfId="3" applyNumberFormat="1" applyFont="1" applyFill="1" applyBorder="1"/>
    <xf numFmtId="172" fontId="0" fillId="0" borderId="14" xfId="0" applyNumberFormat="1" applyBorder="1"/>
    <xf numFmtId="172" fontId="0" fillId="0" borderId="12" xfId="3" applyNumberFormat="1" applyFont="1" applyBorder="1"/>
    <xf numFmtId="172" fontId="0" fillId="0" borderId="14" xfId="3" applyNumberFormat="1" applyFont="1" applyBorder="1"/>
    <xf numFmtId="170" fontId="0" fillId="0" borderId="12" xfId="0" applyNumberFormat="1" applyBorder="1"/>
    <xf numFmtId="170" fontId="0" fillId="0" borderId="14" xfId="0" applyNumberFormat="1" applyBorder="1"/>
    <xf numFmtId="171" fontId="0" fillId="0" borderId="12" xfId="0" applyNumberFormat="1" applyBorder="1"/>
    <xf numFmtId="171" fontId="0" fillId="0" borderId="14" xfId="0" applyNumberFormat="1" applyBorder="1"/>
    <xf numFmtId="0" fontId="3" fillId="0" borderId="16" xfId="0" applyFont="1" applyBorder="1"/>
    <xf numFmtId="0" fontId="1" fillId="0" borderId="17" xfId="0" applyFont="1" applyBorder="1"/>
    <xf numFmtId="0" fontId="0" fillId="0" borderId="17" xfId="0" applyBorder="1"/>
    <xf numFmtId="0" fontId="0" fillId="0" borderId="18" xfId="0" applyBorder="1"/>
    <xf numFmtId="0" fontId="20" fillId="0" borderId="17" xfId="0" applyFont="1" applyBorder="1"/>
    <xf numFmtId="0" fontId="2" fillId="0" borderId="17" xfId="0" applyFont="1" applyBorder="1"/>
    <xf numFmtId="0" fontId="19" fillId="11" borderId="9" xfId="0" applyFont="1" applyFill="1" applyBorder="1"/>
    <xf numFmtId="0" fontId="0" fillId="11" borderId="12" xfId="0" applyFill="1" applyBorder="1"/>
    <xf numFmtId="0" fontId="1" fillId="11" borderId="11" xfId="0" applyFont="1" applyFill="1" applyBorder="1"/>
    <xf numFmtId="172" fontId="0" fillId="11" borderId="12" xfId="3" applyNumberFormat="1" applyFont="1" applyFill="1" applyBorder="1"/>
    <xf numFmtId="172" fontId="1" fillId="11" borderId="12" xfId="0" applyNumberFormat="1" applyFont="1" applyFill="1" applyBorder="1"/>
    <xf numFmtId="2" fontId="0" fillId="11" borderId="12" xfId="0" applyNumberFormat="1" applyFill="1" applyBorder="1"/>
    <xf numFmtId="167" fontId="0" fillId="11" borderId="12" xfId="0" applyNumberFormat="1" applyFill="1" applyBorder="1"/>
    <xf numFmtId="174" fontId="0" fillId="11" borderId="12" xfId="0" applyNumberFormat="1" applyFill="1" applyBorder="1"/>
    <xf numFmtId="0" fontId="8" fillId="0" borderId="0" xfId="0" applyFont="1"/>
    <xf numFmtId="0" fontId="21" fillId="0" borderId="17" xfId="0" applyFont="1" applyBorder="1"/>
    <xf numFmtId="0" fontId="0" fillId="12" borderId="0" xfId="0" applyFill="1"/>
    <xf numFmtId="0" fontId="0" fillId="13" borderId="0" xfId="0" applyFill="1"/>
    <xf numFmtId="0" fontId="0" fillId="12" borderId="12" xfId="0" applyFill="1" applyBorder="1"/>
    <xf numFmtId="9" fontId="0" fillId="12" borderId="12" xfId="2" applyFont="1" applyFill="1" applyBorder="1"/>
    <xf numFmtId="9" fontId="0" fillId="12" borderId="14" xfId="2" applyFont="1" applyFill="1" applyBorder="1"/>
    <xf numFmtId="172" fontId="0" fillId="13" borderId="12" xfId="0" applyNumberFormat="1" applyFill="1" applyBorder="1"/>
    <xf numFmtId="172" fontId="0" fillId="13" borderId="12" xfId="3" applyNumberFormat="1" applyFont="1" applyFill="1" applyBorder="1"/>
    <xf numFmtId="171" fontId="0" fillId="13" borderId="12" xfId="0" applyNumberFormat="1" applyFill="1" applyBorder="1"/>
    <xf numFmtId="0" fontId="0" fillId="12" borderId="14" xfId="0" applyFill="1" applyBorder="1"/>
    <xf numFmtId="172" fontId="0" fillId="12" borderId="12" xfId="3" applyNumberFormat="1" applyFont="1" applyFill="1" applyBorder="1"/>
    <xf numFmtId="175" fontId="0" fillId="12" borderId="12" xfId="2" applyNumberFormat="1" applyFont="1" applyFill="1" applyBorder="1"/>
    <xf numFmtId="173" fontId="0" fillId="12" borderId="12" xfId="3" applyNumberFormat="1" applyFont="1" applyFill="1" applyBorder="1"/>
    <xf numFmtId="173" fontId="0" fillId="12" borderId="14" xfId="3" applyNumberFormat="1" applyFont="1" applyFill="1" applyBorder="1"/>
    <xf numFmtId="0" fontId="1" fillId="12" borderId="12" xfId="0" applyFont="1" applyFill="1" applyBorder="1"/>
    <xf numFmtId="0" fontId="22" fillId="13" borderId="16" xfId="0" applyFont="1" applyFill="1" applyBorder="1"/>
    <xf numFmtId="172" fontId="3" fillId="13" borderId="12" xfId="0" applyNumberFormat="1" applyFont="1" applyFill="1" applyBorder="1"/>
    <xf numFmtId="170" fontId="3" fillId="13" borderId="12" xfId="0" applyNumberFormat="1" applyFont="1" applyFill="1" applyBorder="1"/>
    <xf numFmtId="0" fontId="22" fillId="13" borderId="15" xfId="0" applyFont="1" applyFill="1" applyBorder="1"/>
    <xf numFmtId="0" fontId="0" fillId="12" borderId="19" xfId="0" applyFill="1" applyBorder="1"/>
    <xf numFmtId="0" fontId="0" fillId="0" borderId="1" xfId="0" applyBorder="1"/>
    <xf numFmtId="0" fontId="1" fillId="0" borderId="0" xfId="0" applyFont="1"/>
    <xf numFmtId="1" fontId="0" fillId="0" borderId="19" xfId="0" applyNumberFormat="1" applyBorder="1"/>
    <xf numFmtId="1" fontId="0" fillId="0" borderId="1" xfId="0" applyNumberFormat="1" applyBorder="1"/>
    <xf numFmtId="1" fontId="0" fillId="0" borderId="10" xfId="0" applyNumberFormat="1" applyBorder="1"/>
    <xf numFmtId="9" fontId="0" fillId="0" borderId="14" xfId="2" applyFont="1" applyBorder="1"/>
    <xf numFmtId="0" fontId="1" fillId="0" borderId="20" xfId="0" applyFont="1" applyBorder="1"/>
    <xf numFmtId="172" fontId="3" fillId="13" borderId="21" xfId="0" applyNumberFormat="1" applyFont="1" applyFill="1" applyBorder="1"/>
    <xf numFmtId="0" fontId="20" fillId="0" borderId="16" xfId="0" applyFont="1" applyBorder="1"/>
    <xf numFmtId="172" fontId="0" fillId="0" borderId="18" xfId="3" applyNumberFormat="1" applyFont="1" applyFill="1" applyBorder="1"/>
    <xf numFmtId="172" fontId="3" fillId="0" borderId="0" xfId="3" applyNumberFormat="1" applyFont="1" applyFill="1" applyBorder="1"/>
    <xf numFmtId="172" fontId="1" fillId="13" borderId="15" xfId="3" applyNumberFormat="1" applyFont="1" applyFill="1" applyBorder="1"/>
    <xf numFmtId="0" fontId="1" fillId="0" borderId="22" xfId="0" applyFont="1" applyBorder="1"/>
    <xf numFmtId="0" fontId="1" fillId="0" borderId="23" xfId="0" applyFont="1" applyBorder="1"/>
    <xf numFmtId="167" fontId="3" fillId="13" borderId="14" xfId="0" applyNumberFormat="1" applyFont="1" applyFill="1" applyBorder="1"/>
    <xf numFmtId="0" fontId="3" fillId="0" borderId="17" xfId="0" applyFont="1" applyBorder="1"/>
    <xf numFmtId="172" fontId="0" fillId="0" borderId="18" xfId="3" applyNumberFormat="1" applyFont="1" applyBorder="1"/>
    <xf numFmtId="172" fontId="0" fillId="0" borderId="10" xfId="3" applyNumberFormat="1" applyFont="1" applyBorder="1"/>
    <xf numFmtId="0" fontId="21" fillId="0" borderId="15" xfId="0" applyFont="1" applyBorder="1"/>
    <xf numFmtId="176" fontId="0" fillId="0" borderId="23" xfId="0" applyNumberFormat="1" applyBorder="1"/>
    <xf numFmtId="0" fontId="0" fillId="0" borderId="9" xfId="0" applyBorder="1"/>
    <xf numFmtId="172" fontId="0" fillId="0" borderId="11" xfId="0" applyNumberFormat="1" applyBorder="1"/>
    <xf numFmtId="172" fontId="0" fillId="0" borderId="13" xfId="0" applyNumberFormat="1" applyBorder="1"/>
    <xf numFmtId="0" fontId="0" fillId="0" borderId="19" xfId="0" applyBorder="1"/>
    <xf numFmtId="0" fontId="0" fillId="0" borderId="20" xfId="0" applyBorder="1"/>
    <xf numFmtId="0" fontId="0" fillId="0" borderId="23" xfId="0" applyBorder="1"/>
    <xf numFmtId="0" fontId="0" fillId="0" borderId="17" xfId="0" applyBorder="1" applyAlignment="1">
      <alignment horizontal="center"/>
    </xf>
    <xf numFmtId="0" fontId="0" fillId="0" borderId="18"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1" fillId="0" borderId="18" xfId="0" applyFont="1" applyBorder="1" applyAlignment="1">
      <alignment horizontal="center"/>
    </xf>
    <xf numFmtId="0" fontId="1" fillId="0" borderId="23" xfId="0" applyFont="1" applyBorder="1" applyAlignment="1">
      <alignment horizontal="center"/>
    </xf>
    <xf numFmtId="0" fontId="0" fillId="13" borderId="12" xfId="0" applyFill="1" applyBorder="1" applyAlignment="1">
      <alignment horizontal="center"/>
    </xf>
    <xf numFmtId="0" fontId="0" fillId="13" borderId="14" xfId="0" applyFill="1" applyBorder="1" applyAlignment="1">
      <alignment horizontal="center"/>
    </xf>
    <xf numFmtId="0" fontId="0" fillId="12" borderId="19" xfId="0" applyFill="1" applyBorder="1" applyAlignment="1">
      <alignment horizontal="center"/>
    </xf>
    <xf numFmtId="0" fontId="0" fillId="12" borderId="10" xfId="0" applyFill="1" applyBorder="1" applyAlignment="1">
      <alignment horizontal="center"/>
    </xf>
    <xf numFmtId="0" fontId="0" fillId="12" borderId="12" xfId="0" applyFill="1" applyBorder="1" applyAlignment="1">
      <alignment horizontal="center"/>
    </xf>
    <xf numFmtId="0" fontId="0" fillId="12" borderId="1" xfId="0" applyFill="1" applyBorder="1" applyAlignment="1">
      <alignment horizontal="center"/>
    </xf>
    <xf numFmtId="0" fontId="0" fillId="12" borderId="14" xfId="0" applyFill="1" applyBorder="1" applyAlignment="1">
      <alignment horizontal="center"/>
    </xf>
    <xf numFmtId="0" fontId="1" fillId="0" borderId="15" xfId="0" applyFont="1" applyBorder="1" applyAlignment="1">
      <alignment horizontal="center"/>
    </xf>
    <xf numFmtId="0" fontId="0" fillId="13" borderId="17" xfId="0" applyFill="1" applyBorder="1" applyAlignment="1">
      <alignment horizontal="center"/>
    </xf>
    <xf numFmtId="0" fontId="0" fillId="13" borderId="18" xfId="0" applyFill="1" applyBorder="1" applyAlignment="1">
      <alignment horizontal="center"/>
    </xf>
    <xf numFmtId="172" fontId="0" fillId="12" borderId="0" xfId="3" applyNumberFormat="1" applyFont="1" applyFill="1" applyBorder="1"/>
    <xf numFmtId="172" fontId="0" fillId="0" borderId="1" xfId="3" applyNumberFormat="1" applyFont="1" applyBorder="1"/>
    <xf numFmtId="172" fontId="0" fillId="0" borderId="19" xfId="3" applyNumberFormat="1" applyFont="1" applyBorder="1"/>
    <xf numFmtId="172" fontId="0" fillId="0" borderId="0" xfId="3" applyNumberFormat="1" applyFont="1" applyBorder="1"/>
    <xf numFmtId="172" fontId="7" fillId="0" borderId="11" xfId="0" applyNumberFormat="1" applyFont="1" applyBorder="1"/>
    <xf numFmtId="1" fontId="7" fillId="0" borderId="11" xfId="0" applyNumberFormat="1" applyFont="1" applyBorder="1"/>
    <xf numFmtId="9" fontId="7" fillId="0" borderId="11" xfId="2" applyFont="1" applyBorder="1"/>
    <xf numFmtId="0" fontId="1" fillId="0" borderId="11" xfId="0" applyFont="1" applyBorder="1"/>
    <xf numFmtId="0" fontId="0" fillId="0" borderId="0" xfId="0" applyFill="1"/>
    <xf numFmtId="170" fontId="12" fillId="12" borderId="12" xfId="0" applyNumberFormat="1" applyFont="1" applyFill="1" applyBorder="1"/>
    <xf numFmtId="0" fontId="0" fillId="13" borderId="12" xfId="0" applyFill="1" applyBorder="1"/>
    <xf numFmtId="0" fontId="1" fillId="0" borderId="19" xfId="0" applyFont="1" applyBorder="1" applyAlignment="1">
      <alignment horizontal="center"/>
    </xf>
    <xf numFmtId="0" fontId="1" fillId="0" borderId="22" xfId="0" applyFont="1" applyBorder="1" applyAlignment="1">
      <alignment horizontal="center"/>
    </xf>
    <xf numFmtId="0" fontId="0" fillId="14" borderId="1" xfId="0" applyFill="1" applyBorder="1" applyAlignment="1">
      <alignment horizontal="center"/>
    </xf>
    <xf numFmtId="0" fontId="0" fillId="14" borderId="19" xfId="0" applyFill="1" applyBorder="1" applyAlignment="1">
      <alignment horizontal="center"/>
    </xf>
    <xf numFmtId="166" fontId="0" fillId="0" borderId="12" xfId="0" applyNumberFormat="1" applyBorder="1"/>
    <xf numFmtId="0" fontId="0" fillId="12" borderId="0" xfId="0" applyFill="1" applyAlignment="1">
      <alignment horizontal="center"/>
    </xf>
    <xf numFmtId="0" fontId="0" fillId="14" borderId="0" xfId="0" applyFill="1" applyAlignment="1">
      <alignment horizontal="center"/>
    </xf>
    <xf numFmtId="0" fontId="1" fillId="0" borderId="0" xfId="0" applyFont="1" applyAlignment="1">
      <alignment horizontal="center"/>
    </xf>
    <xf numFmtId="170" fontId="0" fillId="12" borderId="18" xfId="3" applyFont="1" applyFill="1" applyBorder="1"/>
    <xf numFmtId="0" fontId="21" fillId="0" borderId="0" xfId="0" applyFont="1"/>
    <xf numFmtId="0" fontId="20" fillId="0" borderId="0" xfId="0" applyFont="1" applyAlignment="1">
      <alignment horizontal="right"/>
    </xf>
    <xf numFmtId="0" fontId="3" fillId="0" borderId="0" xfId="0" applyFont="1" applyAlignment="1">
      <alignment horizontal="left"/>
    </xf>
    <xf numFmtId="0" fontId="3" fillId="0" borderId="9" xfId="0" applyFont="1" applyBorder="1"/>
    <xf numFmtId="9" fontId="0" fillId="0" borderId="19" xfId="2" applyFont="1" applyFill="1" applyBorder="1"/>
    <xf numFmtId="9" fontId="0" fillId="0" borderId="10" xfId="0" applyNumberFormat="1" applyBorder="1"/>
    <xf numFmtId="9" fontId="0" fillId="0" borderId="0" xfId="0" applyNumberFormat="1"/>
    <xf numFmtId="9" fontId="0" fillId="0" borderId="0" xfId="2" applyFont="1" applyFill="1" applyBorder="1"/>
    <xf numFmtId="9" fontId="0" fillId="0" borderId="12" xfId="0" applyNumberFormat="1" applyBorder="1"/>
    <xf numFmtId="0" fontId="23" fillId="0" borderId="0" xfId="4" applyFill="1" applyBorder="1"/>
    <xf numFmtId="9" fontId="0" fillId="0" borderId="12" xfId="2" applyFont="1" applyFill="1" applyBorder="1"/>
    <xf numFmtId="9" fontId="0" fillId="0" borderId="1" xfId="2" applyFont="1" applyFill="1" applyBorder="1"/>
    <xf numFmtId="2" fontId="0" fillId="0" borderId="1" xfId="0" applyNumberFormat="1" applyBorder="1"/>
    <xf numFmtId="9" fontId="0" fillId="0" borderId="14" xfId="2" applyFont="1" applyFill="1" applyBorder="1"/>
    <xf numFmtId="0" fontId="1" fillId="13" borderId="0" xfId="0" applyFont="1" applyFill="1"/>
    <xf numFmtId="1" fontId="1" fillId="13" borderId="0" xfId="0" applyNumberFormat="1" applyFont="1" applyFill="1"/>
    <xf numFmtId="2" fontId="0" fillId="0" borderId="0" xfId="0" applyNumberFormat="1"/>
    <xf numFmtId="2" fontId="0" fillId="0" borderId="19" xfId="0" applyNumberFormat="1" applyBorder="1"/>
    <xf numFmtId="2" fontId="0" fillId="0" borderId="10" xfId="0" applyNumberFormat="1" applyBorder="1"/>
    <xf numFmtId="16" fontId="0" fillId="0" borderId="11" xfId="0" applyNumberFormat="1" applyBorder="1"/>
    <xf numFmtId="0" fontId="0" fillId="0" borderId="11" xfId="0" applyBorder="1" applyAlignment="1">
      <alignment horizontal="left"/>
    </xf>
    <xf numFmtId="1" fontId="0" fillId="0" borderId="11" xfId="0" applyNumberFormat="1" applyBorder="1"/>
    <xf numFmtId="166" fontId="0" fillId="0" borderId="14" xfId="0" applyNumberFormat="1" applyBorder="1"/>
    <xf numFmtId="0" fontId="1" fillId="13" borderId="9" xfId="0" applyFont="1" applyFill="1" applyBorder="1"/>
    <xf numFmtId="166" fontId="1" fillId="13" borderId="12" xfId="0" applyNumberFormat="1" applyFont="1" applyFill="1" applyBorder="1"/>
    <xf numFmtId="167" fontId="0" fillId="0" borderId="12" xfId="0" applyNumberFormat="1" applyBorder="1"/>
    <xf numFmtId="2" fontId="0" fillId="0" borderId="12" xfId="0" applyNumberFormat="1" applyBorder="1"/>
    <xf numFmtId="2" fontId="0" fillId="0" borderId="14" xfId="0" applyNumberFormat="1" applyBorder="1"/>
    <xf numFmtId="9" fontId="0" fillId="0" borderId="0" xfId="0" applyNumberFormat="1" applyAlignment="1">
      <alignment horizontal="right"/>
    </xf>
    <xf numFmtId="9" fontId="0" fillId="0" borderId="0" xfId="2" applyFont="1" applyFill="1" applyBorder="1" applyAlignment="1">
      <alignment horizontal="right"/>
    </xf>
    <xf numFmtId="0" fontId="20" fillId="0" borderId="9" xfId="0" applyFont="1" applyBorder="1"/>
    <xf numFmtId="0" fontId="0" fillId="0" borderId="19" xfId="0" applyBorder="1" applyAlignment="1">
      <alignment horizontal="right"/>
    </xf>
    <xf numFmtId="0" fontId="0" fillId="0" borderId="10" xfId="0" applyBorder="1" applyAlignment="1">
      <alignment horizontal="right"/>
    </xf>
    <xf numFmtId="0" fontId="0" fillId="0" borderId="12" xfId="0" applyBorder="1" applyAlignment="1">
      <alignment horizontal="right"/>
    </xf>
    <xf numFmtId="1" fontId="0" fillId="12" borderId="12" xfId="0" applyNumberFormat="1" applyFill="1" applyBorder="1"/>
    <xf numFmtId="9" fontId="0" fillId="0" borderId="12" xfId="0" applyNumberFormat="1" applyBorder="1" applyAlignment="1">
      <alignment horizontal="right"/>
    </xf>
    <xf numFmtId="166" fontId="0" fillId="12" borderId="12" xfId="0" applyNumberFormat="1" applyFill="1" applyBorder="1"/>
    <xf numFmtId="17" fontId="0" fillId="0" borderId="11" xfId="0" applyNumberFormat="1" applyBorder="1"/>
    <xf numFmtId="0" fontId="0" fillId="0" borderId="1" xfId="0" applyBorder="1" applyAlignment="1">
      <alignment horizontal="right"/>
    </xf>
    <xf numFmtId="0" fontId="0" fillId="0" borderId="14" xfId="0" applyBorder="1" applyAlignment="1">
      <alignment horizontal="right"/>
    </xf>
    <xf numFmtId="0" fontId="8" fillId="13" borderId="9" xfId="0" applyFont="1" applyFill="1" applyBorder="1"/>
    <xf numFmtId="172" fontId="8" fillId="13" borderId="10" xfId="3" applyNumberFormat="1" applyFont="1" applyFill="1" applyBorder="1" applyAlignment="1">
      <alignment horizontal="right"/>
    </xf>
    <xf numFmtId="0" fontId="8" fillId="13" borderId="11" xfId="0" applyFont="1" applyFill="1" applyBorder="1"/>
    <xf numFmtId="2" fontId="8" fillId="13" borderId="12" xfId="0" applyNumberFormat="1" applyFont="1" applyFill="1" applyBorder="1"/>
    <xf numFmtId="0" fontId="12" fillId="13" borderId="11" xfId="0" applyFont="1" applyFill="1" applyBorder="1"/>
    <xf numFmtId="171" fontId="12" fillId="13" borderId="12" xfId="0" applyNumberFormat="1" applyFont="1" applyFill="1" applyBorder="1"/>
    <xf numFmtId="0" fontId="12" fillId="12" borderId="12" xfId="0" applyFont="1" applyFill="1" applyBorder="1"/>
    <xf numFmtId="0" fontId="12" fillId="13" borderId="13" xfId="0" applyFont="1" applyFill="1" applyBorder="1"/>
    <xf numFmtId="171" fontId="12" fillId="13" borderId="14" xfId="0" applyNumberFormat="1" applyFont="1" applyFill="1" applyBorder="1"/>
    <xf numFmtId="0" fontId="19" fillId="0" borderId="0" xfId="0" applyFont="1"/>
    <xf numFmtId="0" fontId="25" fillId="0" borderId="0" xfId="0" applyFont="1"/>
    <xf numFmtId="0" fontId="0" fillId="9" borderId="0" xfId="0" applyFill="1" applyAlignment="1">
      <alignment horizontal="left" indent="1"/>
    </xf>
    <xf numFmtId="166" fontId="0" fillId="5" borderId="0" xfId="0" applyNumberFormat="1" applyFill="1" applyAlignment="1">
      <alignment horizontal="center"/>
    </xf>
    <xf numFmtId="0" fontId="4" fillId="0" borderId="0" xfId="0" applyFont="1" applyFill="1" applyAlignment="1">
      <alignment horizontal="right"/>
    </xf>
  </cellXfs>
  <cellStyles count="5">
    <cellStyle name="Comma 2" xfId="1" xr:uid="{00000000-0005-0000-0000-000000000000}"/>
    <cellStyle name="Hyperlänk" xfId="4" builtinId="8"/>
    <cellStyle name="Normal" xfId="0" builtinId="0"/>
    <cellStyle name="Pilkku 2" xfId="3" xr:uid="{F7E37500-F264-4C6C-9F04-5CD7F969181A}"/>
    <cellStyle name="Procent" xfId="2" builtinId="5"/>
  </cellStyles>
  <dxfs count="2">
    <dxf>
      <font>
        <color rgb="FF9C57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802235060560769E-2"/>
          <c:y val="5.1292185912178413E-2"/>
          <c:w val="0.85233636694846571"/>
          <c:h val="0.81122131892817029"/>
        </c:manualLayout>
      </c:layout>
      <c:scatterChart>
        <c:scatterStyle val="lineMarker"/>
        <c:varyColors val="0"/>
        <c:ser>
          <c:idx val="0"/>
          <c:order val="0"/>
          <c:tx>
            <c:strRef>
              <c:f>'B2. Road; distance distribution'!$B$90</c:f>
              <c:strCache>
                <c:ptCount val="1"/>
                <c:pt idx="0">
                  <c:v>Case-tariff</c:v>
                </c:pt>
              </c:strCache>
            </c:strRef>
          </c:tx>
          <c:marker>
            <c:symbol val="diamond"/>
            <c:size val="4"/>
          </c:marker>
          <c:xVal>
            <c:numRef>
              <c:f>'B2. Road; distance distribution'!$C$9:$Q$9</c:f>
              <c:numCache>
                <c:formatCode>General</c:formatCode>
                <c:ptCount val="15"/>
                <c:pt idx="0">
                  <c:v>50</c:v>
                </c:pt>
                <c:pt idx="1">
                  <c:v>100</c:v>
                </c:pt>
                <c:pt idx="2">
                  <c:v>150</c:v>
                </c:pt>
                <c:pt idx="3">
                  <c:v>200</c:v>
                </c:pt>
                <c:pt idx="4">
                  <c:v>250</c:v>
                </c:pt>
              </c:numCache>
            </c:numRef>
          </c:xVal>
          <c:yVal>
            <c:numRef>
              <c:f>('B2. Road; distance distribution'!$C$90:$Q$90,'B2. Road; distance distribution'!$V$13:$AJ$13)</c:f>
              <c:numCache>
                <c:formatCode>0.00</c:formatCode>
                <c:ptCount val="30"/>
                <c:pt idx="0">
                  <c:v>6.75</c:v>
                </c:pt>
                <c:pt idx="1">
                  <c:v>10.46</c:v>
                </c:pt>
                <c:pt idx="2">
                  <c:v>14.170000000000002</c:v>
                </c:pt>
                <c:pt idx="3">
                  <c:v>17.880000000000003</c:v>
                </c:pt>
                <c:pt idx="4">
                  <c:v>21.590000000000003</c:v>
                </c:pt>
              </c:numCache>
            </c:numRef>
          </c:yVal>
          <c:smooth val="0"/>
          <c:extLst>
            <c:ext xmlns:c16="http://schemas.microsoft.com/office/drawing/2014/chart" uri="{C3380CC4-5D6E-409C-BE32-E72D297353CC}">
              <c16:uniqueId val="{00000000-179C-4504-9BAD-5CBD097175AA}"/>
            </c:ext>
          </c:extLst>
        </c:ser>
        <c:ser>
          <c:idx val="1"/>
          <c:order val="1"/>
          <c:tx>
            <c:v>Trucking costs, €/t</c:v>
          </c:tx>
          <c:marker>
            <c:symbol val="square"/>
            <c:size val="4"/>
          </c:marker>
          <c:xVal>
            <c:numRef>
              <c:f>'B2. Road; distance distribution'!$C$9:$Q$9</c:f>
              <c:numCache>
                <c:formatCode>General</c:formatCode>
                <c:ptCount val="15"/>
                <c:pt idx="0">
                  <c:v>50</c:v>
                </c:pt>
                <c:pt idx="1">
                  <c:v>100</c:v>
                </c:pt>
                <c:pt idx="2">
                  <c:v>150</c:v>
                </c:pt>
                <c:pt idx="3">
                  <c:v>200</c:v>
                </c:pt>
                <c:pt idx="4">
                  <c:v>250</c:v>
                </c:pt>
              </c:numCache>
            </c:numRef>
          </c:xVal>
          <c:yVal>
            <c:numRef>
              <c:f>'B2. Road; distance distribution'!$C$91:$Q$91</c:f>
              <c:numCache>
                <c:formatCode>0.00</c:formatCode>
                <c:ptCount val="15"/>
                <c:pt idx="0">
                  <c:v>6.332173288675043</c:v>
                </c:pt>
                <c:pt idx="1">
                  <c:v>10.09491374602314</c:v>
                </c:pt>
                <c:pt idx="2">
                  <c:v>13.800002972999309</c:v>
                </c:pt>
                <c:pt idx="3">
                  <c:v>17.499907132392217</c:v>
                </c:pt>
                <c:pt idx="4">
                  <c:v>21.179835374219657</c:v>
                </c:pt>
              </c:numCache>
            </c:numRef>
          </c:yVal>
          <c:smooth val="0"/>
          <c:extLst>
            <c:ext xmlns:c16="http://schemas.microsoft.com/office/drawing/2014/chart" uri="{C3380CC4-5D6E-409C-BE32-E72D297353CC}">
              <c16:uniqueId val="{00000001-179C-4504-9BAD-5CBD097175AA}"/>
            </c:ext>
          </c:extLst>
        </c:ser>
        <c:dLbls>
          <c:showLegendKey val="0"/>
          <c:showVal val="0"/>
          <c:showCatName val="0"/>
          <c:showSerName val="0"/>
          <c:showPercent val="0"/>
          <c:showBubbleSize val="0"/>
        </c:dLbls>
        <c:axId val="117701248"/>
        <c:axId val="117838592"/>
      </c:scatterChart>
      <c:valAx>
        <c:axId val="117701248"/>
        <c:scaling>
          <c:orientation val="minMax"/>
        </c:scaling>
        <c:delete val="0"/>
        <c:axPos val="b"/>
        <c:title>
          <c:tx>
            <c:rich>
              <a:bodyPr/>
              <a:lstStyle/>
              <a:p>
                <a:pPr>
                  <a:defRPr sz="1100"/>
                </a:pPr>
                <a:r>
                  <a:rPr lang="fi-FI" sz="1100"/>
                  <a:t>Transport distance, km</a:t>
                </a:r>
              </a:p>
            </c:rich>
          </c:tx>
          <c:overlay val="0"/>
        </c:title>
        <c:numFmt formatCode="General" sourceLinked="1"/>
        <c:majorTickMark val="out"/>
        <c:minorTickMark val="none"/>
        <c:tickLblPos val="nextTo"/>
        <c:crossAx val="117838592"/>
        <c:crosses val="autoZero"/>
        <c:crossBetween val="midCat"/>
      </c:valAx>
      <c:valAx>
        <c:axId val="117838592"/>
        <c:scaling>
          <c:orientation val="minMax"/>
        </c:scaling>
        <c:delete val="0"/>
        <c:axPos val="l"/>
        <c:majorGridlines/>
        <c:title>
          <c:tx>
            <c:rich>
              <a:bodyPr rot="-5400000" vert="horz"/>
              <a:lstStyle/>
              <a:p>
                <a:pPr>
                  <a:defRPr sz="1100"/>
                </a:pPr>
                <a:r>
                  <a:rPr lang="fi-FI" sz="1100"/>
                  <a:t>€/tonne</a:t>
                </a:r>
              </a:p>
            </c:rich>
          </c:tx>
          <c:overlay val="0"/>
        </c:title>
        <c:numFmt formatCode="0.00" sourceLinked="1"/>
        <c:majorTickMark val="out"/>
        <c:minorTickMark val="none"/>
        <c:tickLblPos val="nextTo"/>
        <c:crossAx val="117701248"/>
        <c:crosses val="autoZero"/>
        <c:crossBetween val="midCat"/>
      </c:valAx>
      <c:spPr>
        <a:noFill/>
        <a:ln w="25400">
          <a:noFill/>
        </a:ln>
      </c:spPr>
    </c:plotArea>
    <c:legend>
      <c:legendPos val="r"/>
      <c:layout>
        <c:manualLayout>
          <c:xMode val="edge"/>
          <c:yMode val="edge"/>
          <c:x val="0.69877354211743359"/>
          <c:y val="0.43179306840669623"/>
          <c:w val="0.17610842199965798"/>
          <c:h val="0.18735786489811199"/>
        </c:manualLayout>
      </c:layout>
      <c:overlay val="0"/>
      <c:spPr>
        <a:solidFill>
          <a:schemeClr val="bg1"/>
        </a:solidFill>
      </c:sp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802235060560769E-2"/>
          <c:y val="5.1292185912178413E-2"/>
          <c:w val="0.85233636694846571"/>
          <c:h val="0.81122131892817029"/>
        </c:manualLayout>
      </c:layout>
      <c:scatterChart>
        <c:scatterStyle val="lineMarker"/>
        <c:varyColors val="0"/>
        <c:ser>
          <c:idx val="0"/>
          <c:order val="0"/>
          <c:tx>
            <c:strRef>
              <c:f>'B2. Road; distance distribution'!$B$90</c:f>
              <c:strCache>
                <c:ptCount val="1"/>
                <c:pt idx="0">
                  <c:v>Case-tariff</c:v>
                </c:pt>
              </c:strCache>
            </c:strRef>
          </c:tx>
          <c:marker>
            <c:symbol val="diamond"/>
            <c:size val="4"/>
          </c:marker>
          <c:xVal>
            <c:numRef>
              <c:f>'B2. Road; distance distribution'!$C$9:$Q$9</c:f>
              <c:numCache>
                <c:formatCode>General</c:formatCode>
                <c:ptCount val="15"/>
                <c:pt idx="0">
                  <c:v>50</c:v>
                </c:pt>
                <c:pt idx="1">
                  <c:v>100</c:v>
                </c:pt>
                <c:pt idx="2">
                  <c:v>150</c:v>
                </c:pt>
                <c:pt idx="3">
                  <c:v>200</c:v>
                </c:pt>
                <c:pt idx="4">
                  <c:v>250</c:v>
                </c:pt>
              </c:numCache>
            </c:numRef>
          </c:xVal>
          <c:yVal>
            <c:numRef>
              <c:f>('B2. Road; distance distribution'!$C$90:$Q$90,'B2. Road; distance distribution'!$V$13:$AJ$13)</c:f>
              <c:numCache>
                <c:formatCode>0.00</c:formatCode>
                <c:ptCount val="30"/>
                <c:pt idx="0">
                  <c:v>6.75</c:v>
                </c:pt>
                <c:pt idx="1">
                  <c:v>10.46</c:v>
                </c:pt>
                <c:pt idx="2">
                  <c:v>14.170000000000002</c:v>
                </c:pt>
                <c:pt idx="3">
                  <c:v>17.880000000000003</c:v>
                </c:pt>
                <c:pt idx="4">
                  <c:v>21.590000000000003</c:v>
                </c:pt>
              </c:numCache>
            </c:numRef>
          </c:yVal>
          <c:smooth val="0"/>
          <c:extLst>
            <c:ext xmlns:c16="http://schemas.microsoft.com/office/drawing/2014/chart" uri="{C3380CC4-5D6E-409C-BE32-E72D297353CC}">
              <c16:uniqueId val="{00000000-3066-4AAC-AD1C-FA115B6A4BCF}"/>
            </c:ext>
          </c:extLst>
        </c:ser>
        <c:ser>
          <c:idx val="1"/>
          <c:order val="1"/>
          <c:tx>
            <c:v>Trucking costs, €/t</c:v>
          </c:tx>
          <c:marker>
            <c:symbol val="square"/>
            <c:size val="4"/>
          </c:marker>
          <c:xVal>
            <c:numRef>
              <c:f>'B2. Road; distance distribution'!$C$9:$Q$9</c:f>
              <c:numCache>
                <c:formatCode>General</c:formatCode>
                <c:ptCount val="15"/>
                <c:pt idx="0">
                  <c:v>50</c:v>
                </c:pt>
                <c:pt idx="1">
                  <c:v>100</c:v>
                </c:pt>
                <c:pt idx="2">
                  <c:v>150</c:v>
                </c:pt>
                <c:pt idx="3">
                  <c:v>200</c:v>
                </c:pt>
                <c:pt idx="4">
                  <c:v>250</c:v>
                </c:pt>
              </c:numCache>
            </c:numRef>
          </c:xVal>
          <c:yVal>
            <c:numRef>
              <c:f>'B2. Road; distance distribution'!$C$91:$Q$91</c:f>
              <c:numCache>
                <c:formatCode>0.00</c:formatCode>
                <c:ptCount val="15"/>
                <c:pt idx="0">
                  <c:v>6.332173288675043</c:v>
                </c:pt>
                <c:pt idx="1">
                  <c:v>10.09491374602314</c:v>
                </c:pt>
                <c:pt idx="2">
                  <c:v>13.800002972999309</c:v>
                </c:pt>
                <c:pt idx="3">
                  <c:v>17.499907132392217</c:v>
                </c:pt>
                <c:pt idx="4">
                  <c:v>21.179835374219657</c:v>
                </c:pt>
              </c:numCache>
            </c:numRef>
          </c:yVal>
          <c:smooth val="0"/>
          <c:extLst>
            <c:ext xmlns:c16="http://schemas.microsoft.com/office/drawing/2014/chart" uri="{C3380CC4-5D6E-409C-BE32-E72D297353CC}">
              <c16:uniqueId val="{00000001-3066-4AAC-AD1C-FA115B6A4BCF}"/>
            </c:ext>
          </c:extLst>
        </c:ser>
        <c:dLbls>
          <c:showLegendKey val="0"/>
          <c:showVal val="0"/>
          <c:showCatName val="0"/>
          <c:showSerName val="0"/>
          <c:showPercent val="0"/>
          <c:showBubbleSize val="0"/>
        </c:dLbls>
        <c:axId val="117955200"/>
        <c:axId val="117957376"/>
      </c:scatterChart>
      <c:valAx>
        <c:axId val="117955200"/>
        <c:scaling>
          <c:orientation val="minMax"/>
        </c:scaling>
        <c:delete val="0"/>
        <c:axPos val="b"/>
        <c:title>
          <c:tx>
            <c:rich>
              <a:bodyPr/>
              <a:lstStyle/>
              <a:p>
                <a:pPr>
                  <a:defRPr sz="1100"/>
                </a:pPr>
                <a:r>
                  <a:rPr lang="fi-FI" sz="1100"/>
                  <a:t>Transport distance, km</a:t>
                </a:r>
              </a:p>
            </c:rich>
          </c:tx>
          <c:overlay val="0"/>
        </c:title>
        <c:numFmt formatCode="General" sourceLinked="1"/>
        <c:majorTickMark val="out"/>
        <c:minorTickMark val="none"/>
        <c:tickLblPos val="nextTo"/>
        <c:crossAx val="117957376"/>
        <c:crosses val="autoZero"/>
        <c:crossBetween val="midCat"/>
      </c:valAx>
      <c:valAx>
        <c:axId val="117957376"/>
        <c:scaling>
          <c:orientation val="minMax"/>
        </c:scaling>
        <c:delete val="0"/>
        <c:axPos val="l"/>
        <c:majorGridlines/>
        <c:title>
          <c:tx>
            <c:rich>
              <a:bodyPr rot="-5400000" vert="horz"/>
              <a:lstStyle/>
              <a:p>
                <a:pPr>
                  <a:defRPr sz="1100"/>
                </a:pPr>
                <a:r>
                  <a:rPr lang="fi-FI" sz="1100"/>
                  <a:t>€/tonne</a:t>
                </a:r>
              </a:p>
            </c:rich>
          </c:tx>
          <c:overlay val="0"/>
        </c:title>
        <c:numFmt formatCode="0.00" sourceLinked="1"/>
        <c:majorTickMark val="out"/>
        <c:minorTickMark val="none"/>
        <c:tickLblPos val="nextTo"/>
        <c:crossAx val="117955200"/>
        <c:crosses val="autoZero"/>
        <c:crossBetween val="midCat"/>
      </c:valAx>
      <c:spPr>
        <a:noFill/>
        <a:ln w="25400">
          <a:noFill/>
        </a:ln>
      </c:spPr>
    </c:plotArea>
    <c:legend>
      <c:legendPos val="r"/>
      <c:layout>
        <c:manualLayout>
          <c:xMode val="edge"/>
          <c:yMode val="edge"/>
          <c:x val="0.69877354211743359"/>
          <c:y val="0.43179306840669623"/>
          <c:w val="0.17610842199965798"/>
          <c:h val="0.18735786489811199"/>
        </c:manualLayout>
      </c:layout>
      <c:overlay val="0"/>
      <c:spPr>
        <a:solidFill>
          <a:schemeClr val="bg1"/>
        </a:solidFill>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91017</xdr:colOff>
      <xdr:row>1</xdr:row>
      <xdr:rowOff>11374</xdr:rowOff>
    </xdr:from>
    <xdr:to>
      <xdr:col>1</xdr:col>
      <xdr:colOff>2967567</xdr:colOff>
      <xdr:row>3</xdr:row>
      <xdr:rowOff>139778</xdr:rowOff>
    </xdr:to>
    <xdr:pic>
      <xdr:nvPicPr>
        <xdr:cNvPr id="2" name="Kuva 1">
          <a:extLst>
            <a:ext uri="{FF2B5EF4-FFF2-40B4-BE49-F238E27FC236}">
              <a16:creationId xmlns:a16="http://schemas.microsoft.com/office/drawing/2014/main" id="{70771579-91A9-4171-A19A-2D726A3AED3D}"/>
            </a:ext>
          </a:extLst>
        </xdr:cNvPr>
        <xdr:cNvPicPr>
          <a:picLocks noChangeAspect="1"/>
        </xdr:cNvPicPr>
      </xdr:nvPicPr>
      <xdr:blipFill>
        <a:blip xmlns:r="http://schemas.openxmlformats.org/officeDocument/2006/relationships" r:embed="rId1"/>
        <a:stretch>
          <a:fillRect/>
        </a:stretch>
      </xdr:blipFill>
      <xdr:spPr>
        <a:xfrm>
          <a:off x="251884" y="375441"/>
          <a:ext cx="2876550" cy="644870"/>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7257</xdr:colOff>
      <xdr:row>11</xdr:row>
      <xdr:rowOff>166915</xdr:rowOff>
    </xdr:from>
    <xdr:to>
      <xdr:col>14</xdr:col>
      <xdr:colOff>317435</xdr:colOff>
      <xdr:row>32</xdr:row>
      <xdr:rowOff>48298</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0</xdr:colOff>
      <xdr:row>159</xdr:row>
      <xdr:rowOff>0</xdr:rowOff>
    </xdr:from>
    <xdr:to>
      <xdr:col>19</xdr:col>
      <xdr:colOff>207810</xdr:colOff>
      <xdr:row>166</xdr:row>
      <xdr:rowOff>94608</xdr:rowOff>
    </xdr:to>
    <xdr:pic>
      <xdr:nvPicPr>
        <xdr:cNvPr id="3" name="Kuva 2">
          <a:extLst>
            <a:ext uri="{FF2B5EF4-FFF2-40B4-BE49-F238E27FC236}">
              <a16:creationId xmlns:a16="http://schemas.microsoft.com/office/drawing/2014/main" id="{6743983C-785C-4A55-8E1E-99859F23C1F4}"/>
            </a:ext>
          </a:extLst>
        </xdr:cNvPr>
        <xdr:cNvPicPr>
          <a:picLocks noChangeAspect="1"/>
        </xdr:cNvPicPr>
      </xdr:nvPicPr>
      <xdr:blipFill>
        <a:blip xmlns:r="http://schemas.openxmlformats.org/officeDocument/2006/relationships" r:embed="rId2"/>
        <a:stretch>
          <a:fillRect/>
        </a:stretch>
      </xdr:blipFill>
      <xdr:spPr>
        <a:xfrm>
          <a:off x="10417629" y="28400829"/>
          <a:ext cx="6303810" cy="1390008"/>
        </a:xfrm>
        <a:prstGeom prst="rect">
          <a:avLst/>
        </a:prstGeom>
        <a:solidFill>
          <a:schemeClr val="bg1"/>
        </a:solidFill>
      </xdr:spPr>
    </xdr:pic>
    <xdr:clientData/>
  </xdr:twoCellAnchor>
  <xdr:twoCellAnchor editAs="oneCell">
    <xdr:from>
      <xdr:col>1</xdr:col>
      <xdr:colOff>315687</xdr:colOff>
      <xdr:row>1</xdr:row>
      <xdr:rowOff>37421</xdr:rowOff>
    </xdr:from>
    <xdr:to>
      <xdr:col>1</xdr:col>
      <xdr:colOff>3635829</xdr:colOff>
      <xdr:row>5</xdr:row>
      <xdr:rowOff>29293</xdr:rowOff>
    </xdr:to>
    <xdr:pic>
      <xdr:nvPicPr>
        <xdr:cNvPr id="9" name="Kuva 8">
          <a:extLst>
            <a:ext uri="{FF2B5EF4-FFF2-40B4-BE49-F238E27FC236}">
              <a16:creationId xmlns:a16="http://schemas.microsoft.com/office/drawing/2014/main" id="{E03CA33F-008B-4651-B291-D74282FF3030}"/>
            </a:ext>
          </a:extLst>
        </xdr:cNvPr>
        <xdr:cNvPicPr>
          <a:picLocks noChangeAspect="1"/>
        </xdr:cNvPicPr>
      </xdr:nvPicPr>
      <xdr:blipFill>
        <a:blip xmlns:r="http://schemas.openxmlformats.org/officeDocument/2006/relationships" r:embed="rId3"/>
        <a:stretch>
          <a:fillRect/>
        </a:stretch>
      </xdr:blipFill>
      <xdr:spPr>
        <a:xfrm>
          <a:off x="478973" y="407535"/>
          <a:ext cx="3320142" cy="7321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528022</xdr:colOff>
      <xdr:row>74</xdr:row>
      <xdr:rowOff>38398</xdr:rowOff>
    </xdr:from>
    <xdr:to>
      <xdr:col>18</xdr:col>
      <xdr:colOff>2802</xdr:colOff>
      <xdr:row>95</xdr:row>
      <xdr:rowOff>64994</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295275</xdr:colOff>
      <xdr:row>1</xdr:row>
      <xdr:rowOff>47350</xdr:rowOff>
    </xdr:from>
    <xdr:to>
      <xdr:col>1</xdr:col>
      <xdr:colOff>2752725</xdr:colOff>
      <xdr:row>2</xdr:row>
      <xdr:rowOff>151075</xdr:rowOff>
    </xdr:to>
    <xdr:pic>
      <xdr:nvPicPr>
        <xdr:cNvPr id="3" name="Kuva 2">
          <a:extLst>
            <a:ext uri="{FF2B5EF4-FFF2-40B4-BE49-F238E27FC236}">
              <a16:creationId xmlns:a16="http://schemas.microsoft.com/office/drawing/2014/main" id="{B5BA885B-1E2A-4916-B19E-EF69EC4E0E32}"/>
            </a:ext>
          </a:extLst>
        </xdr:cNvPr>
        <xdr:cNvPicPr>
          <a:picLocks noChangeAspect="1"/>
        </xdr:cNvPicPr>
      </xdr:nvPicPr>
      <xdr:blipFill>
        <a:blip xmlns:r="http://schemas.openxmlformats.org/officeDocument/2006/relationships" r:embed="rId2"/>
        <a:stretch>
          <a:fillRect/>
        </a:stretch>
      </xdr:blipFill>
      <xdr:spPr>
        <a:xfrm>
          <a:off x="457200" y="409300"/>
          <a:ext cx="2457450" cy="5418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260350</xdr:colOff>
      <xdr:row>39</xdr:row>
      <xdr:rowOff>146050</xdr:rowOff>
    </xdr:from>
    <xdr:to>
      <xdr:col>13</xdr:col>
      <xdr:colOff>615950</xdr:colOff>
      <xdr:row>41</xdr:row>
      <xdr:rowOff>25400</xdr:rowOff>
    </xdr:to>
    <xdr:sp macro="" textlink="">
      <xdr:nvSpPr>
        <xdr:cNvPr id="2" name="Pil: høyre 1">
          <a:extLst>
            <a:ext uri="{FF2B5EF4-FFF2-40B4-BE49-F238E27FC236}">
              <a16:creationId xmlns:a16="http://schemas.microsoft.com/office/drawing/2014/main" id="{CA5FFC4E-9B22-41B3-8FB4-EA3238A8C981}"/>
            </a:ext>
          </a:extLst>
        </xdr:cNvPr>
        <xdr:cNvSpPr/>
      </xdr:nvSpPr>
      <xdr:spPr>
        <a:xfrm>
          <a:off x="19218910" y="7956550"/>
          <a:ext cx="1148080" cy="24511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488950</xdr:colOff>
      <xdr:row>35</xdr:row>
      <xdr:rowOff>95249</xdr:rowOff>
    </xdr:from>
    <xdr:to>
      <xdr:col>9</xdr:col>
      <xdr:colOff>688975</xdr:colOff>
      <xdr:row>37</xdr:row>
      <xdr:rowOff>123824</xdr:rowOff>
    </xdr:to>
    <xdr:sp macro="" textlink="">
      <xdr:nvSpPr>
        <xdr:cNvPr id="3" name="Pil: høyre 2">
          <a:extLst>
            <a:ext uri="{FF2B5EF4-FFF2-40B4-BE49-F238E27FC236}">
              <a16:creationId xmlns:a16="http://schemas.microsoft.com/office/drawing/2014/main" id="{A3AEB783-6B51-4C59-97AF-E38CBEACD95B}"/>
            </a:ext>
          </a:extLst>
        </xdr:cNvPr>
        <xdr:cNvSpPr/>
      </xdr:nvSpPr>
      <xdr:spPr>
        <a:xfrm rot="5400000">
          <a:off x="16218535" y="7248524"/>
          <a:ext cx="409575"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127000</xdr:colOff>
      <xdr:row>27</xdr:row>
      <xdr:rowOff>88900</xdr:rowOff>
    </xdr:from>
    <xdr:to>
      <xdr:col>2</xdr:col>
      <xdr:colOff>666750</xdr:colOff>
      <xdr:row>28</xdr:row>
      <xdr:rowOff>95250</xdr:rowOff>
    </xdr:to>
    <xdr:sp macro="" textlink="">
      <xdr:nvSpPr>
        <xdr:cNvPr id="4" name="Pil: høyre 3">
          <a:extLst>
            <a:ext uri="{FF2B5EF4-FFF2-40B4-BE49-F238E27FC236}">
              <a16:creationId xmlns:a16="http://schemas.microsoft.com/office/drawing/2014/main" id="{C47E482A-ED49-49BB-BFBE-5DD34952A3F5}"/>
            </a:ext>
          </a:extLst>
        </xdr:cNvPr>
        <xdr:cNvSpPr/>
      </xdr:nvSpPr>
      <xdr:spPr>
        <a:xfrm>
          <a:off x="5887720" y="5628640"/>
          <a:ext cx="539750" cy="18923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C1:K39"/>
  <sheetViews>
    <sheetView topLeftCell="A7" zoomScale="90" zoomScaleNormal="90" workbookViewId="0">
      <selection activeCell="G12" sqref="G12"/>
    </sheetView>
  </sheetViews>
  <sheetFormatPr defaultColWidth="8.90625" defaultRowHeight="14.5" x14ac:dyDescent="0.35"/>
  <cols>
    <col min="1" max="1" width="4.6328125" style="110" customWidth="1"/>
    <col min="2" max="2" width="4.54296875" style="110" customWidth="1"/>
    <col min="3" max="4" width="8.90625" style="110"/>
    <col min="5" max="5" width="26.36328125" style="110" customWidth="1"/>
    <col min="6" max="6" width="34.36328125" style="110" customWidth="1"/>
    <col min="7" max="9" width="8.90625" style="110"/>
    <col min="10" max="10" width="4.36328125" style="110" customWidth="1"/>
    <col min="11" max="11" width="9.08984375" style="110" customWidth="1"/>
    <col min="12" max="12" width="1.36328125" style="110" customWidth="1"/>
    <col min="13" max="13" width="7.1796875" style="110" customWidth="1"/>
    <col min="14" max="14" width="1" style="110" customWidth="1"/>
    <col min="15" max="15" width="5.1796875" style="110" customWidth="1"/>
    <col min="16" max="16" width="1.08984375" style="110" customWidth="1"/>
    <col min="17" max="17" width="3.453125" style="110" customWidth="1"/>
    <col min="18" max="18" width="1" style="110" customWidth="1"/>
    <col min="19" max="19" width="2.08984375" style="110" customWidth="1"/>
    <col min="20" max="20" width="0.90625" style="110" customWidth="1"/>
    <col min="21" max="21" width="1.1796875" style="110" customWidth="1"/>
    <col min="22" max="16384" width="8.90625" style="110"/>
  </cols>
  <sheetData>
    <row r="1" spans="3:11" ht="45" customHeight="1" x14ac:dyDescent="0.75">
      <c r="F1" s="111" t="s">
        <v>450</v>
      </c>
    </row>
    <row r="3" spans="3:11" ht="18.5" x14ac:dyDescent="0.45">
      <c r="D3" s="112"/>
      <c r="E3" s="112"/>
      <c r="F3" s="113" t="s">
        <v>149</v>
      </c>
      <c r="G3" s="112"/>
      <c r="H3" s="112"/>
    </row>
    <row r="4" spans="3:11" ht="9.65" customHeight="1" x14ac:dyDescent="0.45">
      <c r="D4" s="112"/>
      <c r="E4" s="112"/>
      <c r="G4" s="112"/>
      <c r="H4" s="112"/>
    </row>
    <row r="5" spans="3:11" ht="18.5" x14ac:dyDescent="0.45">
      <c r="F5" s="113" t="s">
        <v>473</v>
      </c>
    </row>
    <row r="7" spans="3:11" x14ac:dyDescent="0.35">
      <c r="F7" s="114" t="s">
        <v>475</v>
      </c>
    </row>
    <row r="8" spans="3:11" ht="6.65" customHeight="1" x14ac:dyDescent="0.35"/>
    <row r="9" spans="3:11" ht="6.65" customHeight="1" x14ac:dyDescent="0.35"/>
    <row r="10" spans="3:11" ht="6.65" customHeight="1" x14ac:dyDescent="0.35"/>
    <row r="11" spans="3:11" x14ac:dyDescent="0.35">
      <c r="C11" s="126" t="s">
        <v>156</v>
      </c>
    </row>
    <row r="12" spans="3:11" ht="9" customHeight="1" x14ac:dyDescent="0.35">
      <c r="C12" s="126"/>
    </row>
    <row r="13" spans="3:11" x14ac:dyDescent="0.35">
      <c r="C13" s="110" t="s">
        <v>471</v>
      </c>
    </row>
    <row r="14" spans="3:11" x14ac:dyDescent="0.35">
      <c r="C14" s="110" t="s">
        <v>469</v>
      </c>
      <c r="K14" s="129"/>
    </row>
    <row r="15" spans="3:11" x14ac:dyDescent="0.35">
      <c r="C15" s="110" t="s">
        <v>470</v>
      </c>
      <c r="K15" s="129"/>
    </row>
    <row r="16" spans="3:11" x14ac:dyDescent="0.35">
      <c r="C16" s="110" t="s">
        <v>461</v>
      </c>
      <c r="K16" s="129"/>
    </row>
    <row r="17" spans="3:11" x14ac:dyDescent="0.35">
      <c r="C17" s="110" t="s">
        <v>459</v>
      </c>
      <c r="K17" s="129"/>
    </row>
    <row r="18" spans="3:11" x14ac:dyDescent="0.35">
      <c r="C18" s="110" t="s">
        <v>460</v>
      </c>
      <c r="K18" s="129"/>
    </row>
    <row r="19" spans="3:11" ht="9.65" customHeight="1" x14ac:dyDescent="0.35">
      <c r="K19" s="129"/>
    </row>
    <row r="20" spans="3:11" x14ac:dyDescent="0.35">
      <c r="C20" s="110" t="s">
        <v>456</v>
      </c>
      <c r="K20" s="129"/>
    </row>
    <row r="21" spans="3:11" ht="9.65" customHeight="1" x14ac:dyDescent="0.35">
      <c r="K21" s="129"/>
    </row>
    <row r="22" spans="3:11" x14ac:dyDescent="0.35">
      <c r="C22" s="110" t="s">
        <v>457</v>
      </c>
      <c r="K22" s="129"/>
    </row>
    <row r="23" spans="3:11" x14ac:dyDescent="0.35">
      <c r="C23" s="359" t="s">
        <v>458</v>
      </c>
    </row>
    <row r="24" spans="3:11" x14ac:dyDescent="0.35">
      <c r="C24" s="359" t="s">
        <v>462</v>
      </c>
    </row>
    <row r="25" spans="3:11" ht="5.4" customHeight="1" x14ac:dyDescent="0.35"/>
    <row r="26" spans="3:11" ht="16.75" customHeight="1" x14ac:dyDescent="0.35">
      <c r="C26" s="110" t="s">
        <v>202</v>
      </c>
    </row>
    <row r="27" spans="3:11" ht="27" customHeight="1" x14ac:dyDescent="0.35"/>
    <row r="28" spans="3:11" x14ac:dyDescent="0.35">
      <c r="C28" s="110" t="s">
        <v>472</v>
      </c>
    </row>
    <row r="30" spans="3:11" x14ac:dyDescent="0.35">
      <c r="C30"/>
    </row>
    <row r="35" spans="3:3" ht="7.75" customHeight="1" x14ac:dyDescent="0.35"/>
    <row r="39" spans="3:3" x14ac:dyDescent="0.35">
      <c r="C39" s="130"/>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181"/>
  <sheetViews>
    <sheetView tabSelected="1" topLeftCell="A38" zoomScale="90" zoomScaleNormal="90" workbookViewId="0">
      <selection activeCell="C50" sqref="C50"/>
    </sheetView>
  </sheetViews>
  <sheetFormatPr defaultRowHeight="14.5" x14ac:dyDescent="0.35"/>
  <cols>
    <col min="1" max="1" width="2.36328125" customWidth="1"/>
    <col min="2" max="2" width="68.6328125" customWidth="1"/>
    <col min="3" max="4" width="27.453125" style="20" customWidth="1"/>
    <col min="5" max="7" width="24.453125" customWidth="1"/>
  </cols>
  <sheetData>
    <row r="1" spans="2:4" s="184" customFormat="1" ht="28.5" x14ac:dyDescent="0.65">
      <c r="B1" s="358" t="s">
        <v>454</v>
      </c>
      <c r="C1" s="20"/>
      <c r="D1" s="20"/>
    </row>
    <row r="2" spans="2:4" s="184" customFormat="1" ht="25.75" customHeight="1" x14ac:dyDescent="0.35">
      <c r="C2" s="20"/>
      <c r="D2" s="20"/>
    </row>
    <row r="4" spans="2:4" x14ac:dyDescent="0.35">
      <c r="B4" s="40"/>
      <c r="C4" s="48" t="s">
        <v>96</v>
      </c>
      <c r="D4" s="49"/>
    </row>
    <row r="5" spans="2:4" ht="18.5" x14ac:dyDescent="0.45">
      <c r="B5" s="5" t="s">
        <v>0</v>
      </c>
      <c r="C5" s="50" t="s">
        <v>97</v>
      </c>
      <c r="D5" s="34"/>
    </row>
    <row r="6" spans="2:4" ht="14.4" customHeight="1" x14ac:dyDescent="0.45">
      <c r="B6" s="5"/>
      <c r="C6" s="170" t="s">
        <v>192</v>
      </c>
      <c r="D6"/>
    </row>
    <row r="7" spans="2:4" x14ac:dyDescent="0.35">
      <c r="B7" s="4" t="s">
        <v>42</v>
      </c>
      <c r="C7" s="21"/>
      <c r="D7"/>
    </row>
    <row r="8" spans="2:4" x14ac:dyDescent="0.35">
      <c r="B8" s="17" t="s">
        <v>52</v>
      </c>
      <c r="C8" s="21"/>
      <c r="D8"/>
    </row>
    <row r="9" spans="2:4" x14ac:dyDescent="0.35">
      <c r="B9" s="7" t="s">
        <v>58</v>
      </c>
      <c r="C9" s="22">
        <v>65.2</v>
      </c>
      <c r="D9"/>
    </row>
    <row r="10" spans="2:4" x14ac:dyDescent="0.35">
      <c r="B10" s="7" t="s">
        <v>172</v>
      </c>
      <c r="C10" s="22">
        <v>42</v>
      </c>
      <c r="D10"/>
    </row>
    <row r="11" spans="2:4" x14ac:dyDescent="0.35">
      <c r="B11" s="17" t="s">
        <v>53</v>
      </c>
      <c r="C11" s="24"/>
      <c r="D11"/>
    </row>
    <row r="12" spans="2:4" x14ac:dyDescent="0.35">
      <c r="B12" s="16" t="s">
        <v>54</v>
      </c>
      <c r="C12" s="74">
        <v>84.7</v>
      </c>
      <c r="D12"/>
    </row>
    <row r="13" spans="2:4" x14ac:dyDescent="0.35">
      <c r="B13" s="16" t="s">
        <v>55</v>
      </c>
      <c r="C13" s="75">
        <v>6.5400000000000009</v>
      </c>
      <c r="D13"/>
    </row>
    <row r="14" spans="2:4" x14ac:dyDescent="0.35">
      <c r="B14" s="16" t="s">
        <v>56</v>
      </c>
      <c r="C14" s="25">
        <f t="shared" ref="C14" si="0">C12-C13</f>
        <v>78.16</v>
      </c>
      <c r="D14"/>
    </row>
    <row r="15" spans="2:4" x14ac:dyDescent="0.35">
      <c r="B15" s="16" t="s">
        <v>142</v>
      </c>
      <c r="C15" s="81">
        <v>80</v>
      </c>
      <c r="D15"/>
    </row>
    <row r="16" spans="2:4" x14ac:dyDescent="0.35">
      <c r="B16" s="16" t="s">
        <v>57</v>
      </c>
      <c r="C16" s="26">
        <f t="shared" ref="C16" si="1">C12+C15</f>
        <v>164.7</v>
      </c>
      <c r="D16"/>
    </row>
    <row r="17" spans="2:4" s="76" customFormat="1" x14ac:dyDescent="0.35">
      <c r="B17" s="78" t="s">
        <v>133</v>
      </c>
      <c r="C17" s="85"/>
    </row>
    <row r="18" spans="2:4" x14ac:dyDescent="0.35">
      <c r="B18" s="17" t="s">
        <v>170</v>
      </c>
      <c r="C18" s="27"/>
      <c r="D18"/>
    </row>
    <row r="19" spans="2:4" x14ac:dyDescent="0.35">
      <c r="B19" s="16" t="s">
        <v>60</v>
      </c>
      <c r="C19" s="75">
        <v>88.2</v>
      </c>
    </row>
    <row r="20" spans="2:4" x14ac:dyDescent="0.35">
      <c r="B20" s="16" t="s">
        <v>61</v>
      </c>
      <c r="C20" s="75">
        <v>8.4</v>
      </c>
    </row>
    <row r="21" spans="2:4" x14ac:dyDescent="0.35">
      <c r="B21" s="16" t="s">
        <v>62</v>
      </c>
      <c r="C21" s="75">
        <v>3.4</v>
      </c>
      <c r="D21"/>
    </row>
    <row r="22" spans="2:4" x14ac:dyDescent="0.35">
      <c r="B22" s="17" t="s">
        <v>175</v>
      </c>
      <c r="C22" s="147"/>
      <c r="D22"/>
    </row>
    <row r="23" spans="2:4" x14ac:dyDescent="0.35">
      <c r="B23" s="16" t="s">
        <v>63</v>
      </c>
      <c r="C23" s="75">
        <v>70</v>
      </c>
      <c r="D23"/>
    </row>
    <row r="24" spans="2:4" x14ac:dyDescent="0.35">
      <c r="B24" s="78" t="s">
        <v>64</v>
      </c>
      <c r="C24" s="75">
        <v>36</v>
      </c>
      <c r="D24"/>
    </row>
    <row r="25" spans="2:4" x14ac:dyDescent="0.35">
      <c r="B25" s="78" t="s">
        <v>174</v>
      </c>
      <c r="C25" s="75">
        <v>17.8</v>
      </c>
      <c r="D25"/>
    </row>
    <row r="26" spans="2:4" x14ac:dyDescent="0.35">
      <c r="B26" s="78" t="s">
        <v>190</v>
      </c>
      <c r="C26" s="148">
        <v>0.95</v>
      </c>
      <c r="D26"/>
    </row>
    <row r="27" spans="2:4" x14ac:dyDescent="0.35">
      <c r="B27" s="17" t="s">
        <v>65</v>
      </c>
      <c r="C27" s="147"/>
      <c r="D27"/>
    </row>
    <row r="28" spans="2:4" x14ac:dyDescent="0.35">
      <c r="B28" s="16" t="s">
        <v>66</v>
      </c>
      <c r="C28" s="75">
        <v>0.75659679999999996</v>
      </c>
      <c r="D28"/>
    </row>
    <row r="29" spans="2:4" x14ac:dyDescent="0.35">
      <c r="B29" s="16" t="s">
        <v>67</v>
      </c>
      <c r="C29" s="75">
        <v>0.44000000000000006</v>
      </c>
      <c r="D29"/>
    </row>
    <row r="30" spans="2:4" x14ac:dyDescent="0.35">
      <c r="B30" s="16" t="s">
        <v>95</v>
      </c>
      <c r="C30" s="75">
        <v>0.48</v>
      </c>
      <c r="D30"/>
    </row>
    <row r="31" spans="2:4" x14ac:dyDescent="0.35">
      <c r="B31" s="16" t="s">
        <v>68</v>
      </c>
      <c r="C31" s="28">
        <f t="shared" ref="C31" si="2">((C21/100)*C14)/(C25*C26)+(C20/100*C14)/(C24*C26)+(C19/100*C14)/(C23*C26)</f>
        <v>1.3857723319534792</v>
      </c>
      <c r="D31"/>
    </row>
    <row r="32" spans="2:4" x14ac:dyDescent="0.35">
      <c r="B32" s="16" t="s">
        <v>69</v>
      </c>
      <c r="C32" s="28">
        <f t="shared" ref="C32" si="3">((C21/100)*C15)/C25+(C20/100*C15)/C24+(C19/100*C15)/C23</f>
        <v>1.3474756554307117</v>
      </c>
      <c r="D32"/>
    </row>
    <row r="33" spans="2:4" x14ac:dyDescent="0.35">
      <c r="B33" s="16" t="s">
        <v>70</v>
      </c>
      <c r="C33" s="25">
        <f t="shared" ref="C33" si="4">C13/C24</f>
        <v>0.1816666666666667</v>
      </c>
      <c r="D33"/>
    </row>
    <row r="34" spans="2:4" x14ac:dyDescent="0.35">
      <c r="B34" s="15" t="s">
        <v>71</v>
      </c>
      <c r="C34" s="26">
        <f t="shared" ref="C34" si="5">SUM(C28:C33)</f>
        <v>4.5915114540508579</v>
      </c>
      <c r="D34"/>
    </row>
    <row r="35" spans="2:4" x14ac:dyDescent="0.35">
      <c r="B35" s="16" t="s">
        <v>109</v>
      </c>
      <c r="C35" s="149">
        <v>3</v>
      </c>
      <c r="D35"/>
    </row>
    <row r="36" spans="2:4" x14ac:dyDescent="0.35">
      <c r="B36" s="17" t="s">
        <v>45</v>
      </c>
      <c r="C36" s="30"/>
      <c r="D36"/>
    </row>
    <row r="37" spans="2:4" x14ac:dyDescent="0.35">
      <c r="B37" s="11" t="s">
        <v>43</v>
      </c>
      <c r="C37" s="81">
        <v>58.6</v>
      </c>
      <c r="D37"/>
    </row>
    <row r="38" spans="2:4" x14ac:dyDescent="0.35">
      <c r="B38" s="11" t="s">
        <v>44</v>
      </c>
      <c r="C38" s="75">
        <v>77</v>
      </c>
      <c r="D38"/>
    </row>
    <row r="39" spans="2:4" x14ac:dyDescent="0.35">
      <c r="B39" s="11" t="s">
        <v>73</v>
      </c>
      <c r="C39" s="81">
        <v>41.3</v>
      </c>
      <c r="D39"/>
    </row>
    <row r="40" spans="2:4" x14ac:dyDescent="0.35">
      <c r="B40" s="11" t="s">
        <v>204</v>
      </c>
      <c r="C40" s="81">
        <v>7.9599999999999991</v>
      </c>
      <c r="D40"/>
    </row>
    <row r="41" spans="2:4" s="16" customFormat="1" ht="8.4" customHeight="1" x14ac:dyDescent="0.35">
      <c r="B41" s="11"/>
      <c r="C41" s="24"/>
    </row>
    <row r="42" spans="2:4" x14ac:dyDescent="0.35">
      <c r="B42" s="17" t="s">
        <v>86</v>
      </c>
      <c r="C42" s="74">
        <v>3557.4</v>
      </c>
      <c r="D42"/>
    </row>
    <row r="43" spans="2:4" s="16" customFormat="1" ht="9" customHeight="1" x14ac:dyDescent="0.35">
      <c r="B43" s="11"/>
      <c r="C43" s="24"/>
    </row>
    <row r="44" spans="2:4" x14ac:dyDescent="0.35">
      <c r="B44" s="18" t="s">
        <v>75</v>
      </c>
      <c r="C44" s="171" t="str">
        <f>C6</f>
        <v>NB Nord countries (average)</v>
      </c>
      <c r="D44"/>
    </row>
    <row r="45" spans="2:4" x14ac:dyDescent="0.35">
      <c r="B45" s="8" t="s">
        <v>76</v>
      </c>
      <c r="C45" s="26">
        <f t="shared" ref="C45" si="6">C12</f>
        <v>84.7</v>
      </c>
      <c r="D45"/>
    </row>
    <row r="46" spans="2:4" x14ac:dyDescent="0.35">
      <c r="B46" s="19" t="s">
        <v>77</v>
      </c>
      <c r="C46" s="26">
        <f t="shared" ref="C46" si="7">C16</f>
        <v>164.7</v>
      </c>
      <c r="D46"/>
    </row>
    <row r="47" spans="2:4" x14ac:dyDescent="0.35">
      <c r="B47" s="19" t="s">
        <v>78</v>
      </c>
      <c r="C47" s="26">
        <f t="shared" ref="C47" si="8">C34</f>
        <v>4.5915114540508579</v>
      </c>
      <c r="D47"/>
    </row>
    <row r="48" spans="2:4" x14ac:dyDescent="0.35">
      <c r="B48" s="19" t="s">
        <v>79</v>
      </c>
      <c r="C48" s="26">
        <f t="shared" ref="C48" si="9">C16/(C31+C32+C33)</f>
        <v>56.502511924702965</v>
      </c>
      <c r="D48"/>
    </row>
    <row r="49" spans="2:4" x14ac:dyDescent="0.35">
      <c r="B49" s="19" t="s">
        <v>80</v>
      </c>
      <c r="C49" s="26">
        <f t="shared" ref="C49" si="10">(C37*(C14/100)+C38*(C13/100)+C39*(C15/100)+C40*(C28+C29))/(C16/100)</f>
        <v>56.710668201578642</v>
      </c>
      <c r="D49"/>
    </row>
    <row r="50" spans="2:4" s="76" customFormat="1" x14ac:dyDescent="0.35">
      <c r="B50" s="19" t="s">
        <v>150</v>
      </c>
      <c r="C50" s="109">
        <f>(C16/100*C49)/(C10*C12)</f>
        <v>2.6255824626974757E-2</v>
      </c>
      <c r="D50" s="141" t="s">
        <v>474</v>
      </c>
    </row>
    <row r="51" spans="2:4" s="76" customFormat="1" x14ac:dyDescent="0.35">
      <c r="B51" s="19" t="s">
        <v>145</v>
      </c>
      <c r="C51" s="26">
        <f t="shared" ref="C51" si="11">C56/100*C49</f>
        <v>72366.137377956955</v>
      </c>
    </row>
    <row r="52" spans="2:4" x14ac:dyDescent="0.35">
      <c r="B52" s="19" t="s">
        <v>143</v>
      </c>
      <c r="C52" s="26">
        <f>C42</f>
        <v>3557.4</v>
      </c>
      <c r="D52"/>
    </row>
    <row r="53" spans="2:4" x14ac:dyDescent="0.35">
      <c r="B53" s="19" t="s">
        <v>144</v>
      </c>
      <c r="C53" s="26">
        <f t="shared" ref="C53" si="12">C52*((100+C35)/100)</f>
        <v>3664.1220000000003</v>
      </c>
      <c r="D53"/>
    </row>
    <row r="54" spans="2:4" x14ac:dyDescent="0.35">
      <c r="B54" s="8" t="s">
        <v>146</v>
      </c>
      <c r="C54" s="26">
        <f t="shared" ref="C54" si="13">C42/C34</f>
        <v>774.77755105271194</v>
      </c>
      <c r="D54"/>
    </row>
    <row r="55" spans="2:4" x14ac:dyDescent="0.35">
      <c r="B55" s="8" t="s">
        <v>147</v>
      </c>
      <c r="C55" s="26">
        <f t="shared" ref="C55" si="14">C10*C54</f>
        <v>32540.657144213903</v>
      </c>
      <c r="D55"/>
    </row>
    <row r="56" spans="2:4" x14ac:dyDescent="0.35">
      <c r="B56" s="10" t="s">
        <v>148</v>
      </c>
      <c r="C56" s="26">
        <f t="shared" ref="C56" si="15">C16*C54+C17</f>
        <v>127605.86265838165</v>
      </c>
      <c r="D56"/>
    </row>
    <row r="57" spans="2:4" x14ac:dyDescent="0.35">
      <c r="B57" s="10" t="s">
        <v>168</v>
      </c>
      <c r="C57" s="60">
        <f t="shared" ref="C57" si="16">C15/C16*100</f>
        <v>48.573163327261696</v>
      </c>
      <c r="D57"/>
    </row>
    <row r="58" spans="2:4" x14ac:dyDescent="0.35">
      <c r="B58" s="3"/>
      <c r="C58" s="21"/>
      <c r="D58"/>
    </row>
    <row r="59" spans="2:4" x14ac:dyDescent="0.35">
      <c r="B59" s="4" t="s">
        <v>1</v>
      </c>
      <c r="C59" s="171" t="str">
        <f>C6</f>
        <v>NB Nord countries (average)</v>
      </c>
      <c r="D59"/>
    </row>
    <row r="60" spans="2:4" x14ac:dyDescent="0.35">
      <c r="B60" t="s">
        <v>94</v>
      </c>
      <c r="C60" s="31"/>
      <c r="D60"/>
    </row>
    <row r="61" spans="2:4" x14ac:dyDescent="0.35">
      <c r="B61" s="12" t="s">
        <v>4</v>
      </c>
      <c r="C61" s="22">
        <v>180106.67467448785</v>
      </c>
      <c r="D61"/>
    </row>
    <row r="62" spans="2:4" x14ac:dyDescent="0.35">
      <c r="B62" s="12" t="s">
        <v>3</v>
      </c>
      <c r="C62" s="22">
        <v>60553.726178731726</v>
      </c>
      <c r="D62"/>
    </row>
    <row r="63" spans="2:4" x14ac:dyDescent="0.35">
      <c r="B63" s="12" t="s">
        <v>2</v>
      </c>
      <c r="C63" s="22">
        <v>57831.844634048794</v>
      </c>
      <c r="D63"/>
    </row>
    <row r="64" spans="2:4" x14ac:dyDescent="0.35">
      <c r="B64" s="2" t="s">
        <v>38</v>
      </c>
      <c r="C64" s="22"/>
      <c r="D64"/>
    </row>
    <row r="65" spans="2:4" x14ac:dyDescent="0.35">
      <c r="B65" s="12" t="s">
        <v>32</v>
      </c>
      <c r="C65" s="22">
        <v>821320</v>
      </c>
      <c r="D65"/>
    </row>
    <row r="66" spans="2:4" x14ac:dyDescent="0.35">
      <c r="B66" s="12" t="s">
        <v>33</v>
      </c>
      <c r="C66" s="22">
        <v>1211320</v>
      </c>
      <c r="D66"/>
    </row>
    <row r="67" spans="2:4" x14ac:dyDescent="0.35">
      <c r="B67" s="12" t="s">
        <v>34</v>
      </c>
      <c r="C67" s="22">
        <v>5360</v>
      </c>
      <c r="D67"/>
    </row>
    <row r="68" spans="2:4" x14ac:dyDescent="0.35">
      <c r="B68" s="2" t="s">
        <v>39</v>
      </c>
      <c r="C68" s="31"/>
      <c r="D68"/>
    </row>
    <row r="69" spans="2:4" x14ac:dyDescent="0.35">
      <c r="B69" s="12" t="s">
        <v>35</v>
      </c>
      <c r="C69" s="81">
        <v>20.399999999999999</v>
      </c>
      <c r="D69"/>
    </row>
    <row r="70" spans="2:4" x14ac:dyDescent="0.35">
      <c r="B70" s="12" t="s">
        <v>36</v>
      </c>
      <c r="C70" s="81">
        <v>11.8</v>
      </c>
      <c r="D70"/>
    </row>
    <row r="71" spans="2:4" x14ac:dyDescent="0.35">
      <c r="B71" s="12" t="s">
        <v>37</v>
      </c>
      <c r="C71" s="81">
        <v>10.8</v>
      </c>
      <c r="D71"/>
    </row>
    <row r="72" spans="2:4" s="76" customFormat="1" x14ac:dyDescent="0.35">
      <c r="B72" s="79" t="s">
        <v>189</v>
      </c>
      <c r="C72" s="81">
        <v>50</v>
      </c>
    </row>
    <row r="73" spans="2:4" x14ac:dyDescent="0.35">
      <c r="B73" s="2" t="s">
        <v>40</v>
      </c>
      <c r="C73" s="81">
        <v>7.325000000000001E-2</v>
      </c>
      <c r="D73"/>
    </row>
    <row r="74" spans="2:4" x14ac:dyDescent="0.35">
      <c r="B74" s="13" t="s">
        <v>41</v>
      </c>
      <c r="C74" s="31"/>
      <c r="D74"/>
    </row>
    <row r="75" spans="2:4" x14ac:dyDescent="0.35">
      <c r="B75" s="14" t="s">
        <v>22</v>
      </c>
      <c r="C75" s="31"/>
      <c r="D75"/>
    </row>
    <row r="76" spans="2:4" x14ac:dyDescent="0.35">
      <c r="B76" s="14" t="s">
        <v>23</v>
      </c>
      <c r="C76" s="31"/>
      <c r="D76"/>
    </row>
    <row r="77" spans="2:4" x14ac:dyDescent="0.35">
      <c r="B77" s="14" t="s">
        <v>24</v>
      </c>
      <c r="C77" s="31"/>
      <c r="D77"/>
    </row>
    <row r="78" spans="2:4" x14ac:dyDescent="0.35">
      <c r="B78" s="14" t="s">
        <v>25</v>
      </c>
      <c r="C78" s="31"/>
      <c r="D78"/>
    </row>
    <row r="79" spans="2:4" x14ac:dyDescent="0.35">
      <c r="B79" s="14" t="s">
        <v>7</v>
      </c>
      <c r="C79" s="31"/>
      <c r="D79"/>
    </row>
    <row r="80" spans="2:4" x14ac:dyDescent="0.35">
      <c r="B80" s="14" t="s">
        <v>8</v>
      </c>
      <c r="C80" s="31"/>
      <c r="D80"/>
    </row>
    <row r="81" spans="2:4" x14ac:dyDescent="0.35">
      <c r="B81" s="14" t="s">
        <v>21</v>
      </c>
      <c r="C81" s="31"/>
      <c r="D81"/>
    </row>
    <row r="82" spans="2:4" x14ac:dyDescent="0.35">
      <c r="B82" s="1"/>
      <c r="C82" s="31"/>
      <c r="D82"/>
    </row>
    <row r="83" spans="2:4" x14ac:dyDescent="0.35">
      <c r="B83" s="2" t="s">
        <v>5</v>
      </c>
      <c r="C83" s="22">
        <v>6915.2948495756118</v>
      </c>
      <c r="D83" s="76"/>
    </row>
    <row r="84" spans="2:4" x14ac:dyDescent="0.35">
      <c r="B84" s="2" t="s">
        <v>6</v>
      </c>
      <c r="C84" s="22">
        <v>8035.4228325112199</v>
      </c>
      <c r="D84"/>
    </row>
    <row r="85" spans="2:4" x14ac:dyDescent="0.35">
      <c r="B85" s="2" t="s">
        <v>182</v>
      </c>
      <c r="C85" s="81">
        <v>1.044</v>
      </c>
      <c r="D85"/>
    </row>
    <row r="86" spans="2:4" s="76" customFormat="1" x14ac:dyDescent="0.35">
      <c r="B86" s="150" t="s">
        <v>183</v>
      </c>
      <c r="C86" s="81">
        <v>0.6</v>
      </c>
    </row>
    <row r="87" spans="2:4" s="76" customFormat="1" x14ac:dyDescent="0.35">
      <c r="B87" s="150" t="s">
        <v>184</v>
      </c>
      <c r="C87" s="81">
        <v>2</v>
      </c>
    </row>
    <row r="88" spans="2:4" x14ac:dyDescent="0.35">
      <c r="B88" s="13" t="s">
        <v>135</v>
      </c>
      <c r="C88" s="31"/>
      <c r="D88"/>
    </row>
    <row r="89" spans="2:4" x14ac:dyDescent="0.35">
      <c r="B89" s="2" t="s">
        <v>463</v>
      </c>
      <c r="C89" s="35">
        <v>0.2063945392123791</v>
      </c>
      <c r="D89"/>
    </row>
    <row r="90" spans="2:4" x14ac:dyDescent="0.35">
      <c r="B90" s="2" t="s">
        <v>137</v>
      </c>
      <c r="C90" s="31"/>
      <c r="D90"/>
    </row>
    <row r="91" spans="2:4" x14ac:dyDescent="0.35">
      <c r="B91" s="13" t="s">
        <v>138</v>
      </c>
      <c r="C91" s="31"/>
      <c r="D91"/>
    </row>
    <row r="92" spans="2:4" x14ac:dyDescent="0.35">
      <c r="B92" s="2" t="s">
        <v>139</v>
      </c>
      <c r="C92" s="81">
        <v>4.0999999999999996</v>
      </c>
      <c r="D92"/>
    </row>
    <row r="93" spans="2:4" x14ac:dyDescent="0.35">
      <c r="B93" s="2" t="s">
        <v>140</v>
      </c>
      <c r="C93" s="31">
        <v>24.5</v>
      </c>
      <c r="D93"/>
    </row>
    <row r="94" spans="2:4" x14ac:dyDescent="0.35">
      <c r="B94" s="13" t="s">
        <v>141</v>
      </c>
      <c r="C94" s="360">
        <v>30.884000000000004</v>
      </c>
      <c r="D94"/>
    </row>
    <row r="95" spans="2:4" s="76" customFormat="1" x14ac:dyDescent="0.35">
      <c r="B95" s="150" t="s">
        <v>188</v>
      </c>
      <c r="C95" s="31"/>
    </row>
    <row r="96" spans="2:4" x14ac:dyDescent="0.35">
      <c r="B96" s="13" t="s">
        <v>171</v>
      </c>
      <c r="C96" s="81">
        <v>3</v>
      </c>
      <c r="D96"/>
    </row>
    <row r="97" spans="2:4" x14ac:dyDescent="0.35">
      <c r="B97" s="2"/>
      <c r="C97" s="32"/>
      <c r="D97"/>
    </row>
    <row r="98" spans="2:4" ht="18.5" x14ac:dyDescent="0.45">
      <c r="B98" s="5" t="s">
        <v>9</v>
      </c>
      <c r="C98" s="21"/>
      <c r="D98"/>
    </row>
    <row r="99" spans="2:4" x14ac:dyDescent="0.35">
      <c r="B99" s="6" t="s">
        <v>28</v>
      </c>
      <c r="C99" s="171" t="str">
        <f>C6</f>
        <v>NB Nord countries (average)</v>
      </c>
      <c r="D99"/>
    </row>
    <row r="100" spans="2:4" ht="4.25" customHeight="1" x14ac:dyDescent="0.35">
      <c r="B100" s="1"/>
      <c r="C100" s="21"/>
      <c r="D100"/>
    </row>
    <row r="101" spans="2:4" x14ac:dyDescent="0.35">
      <c r="B101" s="2" t="s">
        <v>87</v>
      </c>
      <c r="C101" s="34">
        <f t="shared" ref="C101:C102" si="17">C$92/100*((C61+(C69/100*C61))/2)</f>
        <v>4445.3929443157085</v>
      </c>
      <c r="D101"/>
    </row>
    <row r="102" spans="2:4" x14ac:dyDescent="0.35">
      <c r="B102" s="2" t="s">
        <v>88</v>
      </c>
      <c r="C102" s="34">
        <f t="shared" si="17"/>
        <v>1387.8308502903521</v>
      </c>
      <c r="D102"/>
    </row>
    <row r="103" spans="2:4" x14ac:dyDescent="0.35">
      <c r="B103" s="2" t="s">
        <v>89</v>
      </c>
      <c r="C103" s="34">
        <f t="shared" ref="C103" si="18">C$92/100*((C63+(C71/100*(C63)))/2)</f>
        <v>1313.5925190177841</v>
      </c>
      <c r="D103"/>
    </row>
    <row r="104" spans="2:4" x14ac:dyDescent="0.35">
      <c r="B104" s="2" t="s">
        <v>90</v>
      </c>
      <c r="C104" s="34">
        <f t="shared" ref="C104:C105" si="19">C83</f>
        <v>6915.2948495756118</v>
      </c>
      <c r="D104"/>
    </row>
    <row r="105" spans="2:4" x14ac:dyDescent="0.35">
      <c r="B105" s="2" t="s">
        <v>91</v>
      </c>
      <c r="C105" s="34">
        <f t="shared" si="19"/>
        <v>8035.4228325112199</v>
      </c>
      <c r="D105"/>
    </row>
    <row r="106" spans="2:4" x14ac:dyDescent="0.35">
      <c r="B106" s="2" t="s">
        <v>186</v>
      </c>
      <c r="C106" s="34">
        <f t="shared" ref="C106" si="20">C93*C53+(C93*C94/100*C53)+C95</f>
        <v>117495.86124276</v>
      </c>
      <c r="D106"/>
    </row>
    <row r="107" spans="2:4" x14ac:dyDescent="0.35">
      <c r="B107" s="6" t="s">
        <v>93</v>
      </c>
      <c r="C107" s="60">
        <f>SUM(C101:C106)</f>
        <v>139593.39523847069</v>
      </c>
      <c r="D107"/>
    </row>
    <row r="108" spans="2:4" x14ac:dyDescent="0.35">
      <c r="C108" s="21"/>
      <c r="D108"/>
    </row>
    <row r="109" spans="2:4" x14ac:dyDescent="0.35">
      <c r="B109" s="6" t="s">
        <v>191</v>
      </c>
      <c r="C109" s="21"/>
      <c r="D109"/>
    </row>
    <row r="110" spans="2:4" ht="4.75" customHeight="1" x14ac:dyDescent="0.35">
      <c r="C110" s="21"/>
      <c r="D110"/>
    </row>
    <row r="111" spans="2:4" x14ac:dyDescent="0.35">
      <c r="B111" s="2" t="s">
        <v>10</v>
      </c>
      <c r="C111" s="172">
        <f t="shared" ref="C111:C112" si="21">(C61-(C69/100*C61))/C65</f>
        <v>0.17455427000546966</v>
      </c>
      <c r="D111"/>
    </row>
    <row r="112" spans="2:4" x14ac:dyDescent="0.35">
      <c r="B112" s="2" t="s">
        <v>11</v>
      </c>
      <c r="C112" s="172">
        <f t="shared" si="21"/>
        <v>4.4091063046627958E-2</v>
      </c>
      <c r="D112"/>
    </row>
    <row r="113" spans="2:4" x14ac:dyDescent="0.35">
      <c r="B113" s="2" t="s">
        <v>20</v>
      </c>
      <c r="C113" s="172">
        <f t="shared" ref="C113" si="22">(C63-C71/100*C63)/C67</f>
        <v>9.6242547413379711</v>
      </c>
      <c r="D113"/>
    </row>
    <row r="114" spans="2:4" x14ac:dyDescent="0.35">
      <c r="B114" s="2" t="s">
        <v>12</v>
      </c>
      <c r="C114" s="172">
        <f>C73</f>
        <v>7.325000000000001E-2</v>
      </c>
      <c r="D114"/>
    </row>
    <row r="115" spans="2:4" x14ac:dyDescent="0.35">
      <c r="B115" s="2" t="s">
        <v>13</v>
      </c>
      <c r="C115" s="172">
        <f>C89</f>
        <v>0.2063945392123791</v>
      </c>
      <c r="D115"/>
    </row>
    <row r="116" spans="2:4" x14ac:dyDescent="0.35">
      <c r="B116" s="12" t="s">
        <v>26</v>
      </c>
      <c r="C116" s="172">
        <f>C90</f>
        <v>0</v>
      </c>
      <c r="D116"/>
    </row>
    <row r="117" spans="2:4" x14ac:dyDescent="0.35">
      <c r="B117" s="2" t="s">
        <v>185</v>
      </c>
      <c r="C117" s="172"/>
      <c r="D117"/>
    </row>
    <row r="118" spans="2:4" x14ac:dyDescent="0.35">
      <c r="B118" s="12" t="s">
        <v>14</v>
      </c>
      <c r="C118" s="172">
        <f>(C12/100*C37+C13/100*C38)*C85/(C12+C13)+(C87/100*C86)</f>
        <v>0.63755326611135466</v>
      </c>
      <c r="D118"/>
    </row>
    <row r="119" spans="2:4" x14ac:dyDescent="0.35">
      <c r="B119" s="12" t="s">
        <v>15</v>
      </c>
      <c r="C119" s="172">
        <f t="shared" ref="C119" si="23">C39/100*C85+(C87/100*C86)</f>
        <v>0.44317200000000001</v>
      </c>
      <c r="D119"/>
    </row>
    <row r="120" spans="2:4" x14ac:dyDescent="0.35">
      <c r="B120" s="12" t="s">
        <v>205</v>
      </c>
      <c r="C120" s="172">
        <f>(C28+C72/100*C29)*C40*C85</f>
        <v>8.1157537912320006</v>
      </c>
      <c r="D120"/>
    </row>
    <row r="121" spans="2:4" x14ac:dyDescent="0.35">
      <c r="B121" s="12" t="s">
        <v>30</v>
      </c>
      <c r="C121" s="34">
        <f t="shared" ref="C121" si="24">C118*C12</f>
        <v>54.00076163963174</v>
      </c>
      <c r="D121"/>
    </row>
    <row r="122" spans="2:4" x14ac:dyDescent="0.35">
      <c r="B122" s="12" t="s">
        <v>31</v>
      </c>
      <c r="C122" s="34">
        <f t="shared" ref="C122" si="25">C119*C15+(C17/C54*C119)</f>
        <v>35.453760000000003</v>
      </c>
      <c r="D122"/>
    </row>
    <row r="123" spans="2:4" x14ac:dyDescent="0.35">
      <c r="B123" s="12"/>
      <c r="D123"/>
    </row>
    <row r="124" spans="2:4" x14ac:dyDescent="0.35">
      <c r="B124" s="6" t="s">
        <v>29</v>
      </c>
      <c r="D124"/>
    </row>
    <row r="125" spans="2:4" ht="4.25" customHeight="1" x14ac:dyDescent="0.35">
      <c r="D125"/>
    </row>
    <row r="126" spans="2:4" x14ac:dyDescent="0.35">
      <c r="B126" s="4" t="s">
        <v>16</v>
      </c>
      <c r="C126" s="171" t="s">
        <v>192</v>
      </c>
      <c r="D126"/>
    </row>
    <row r="127" spans="2:4" x14ac:dyDescent="0.35">
      <c r="B127" s="9" t="s">
        <v>27</v>
      </c>
      <c r="C127" s="34">
        <f>C113+C116+C120</f>
        <v>17.740008532569973</v>
      </c>
      <c r="D127"/>
    </row>
    <row r="128" spans="2:4" x14ac:dyDescent="0.35">
      <c r="B128" s="9" t="s">
        <v>17</v>
      </c>
      <c r="C128" s="34">
        <f t="shared" ref="C128" si="26">(C16+C17/C54)*(C111+C112+C114+C115)+C121+C122</f>
        <v>171.52286360159104</v>
      </c>
      <c r="D128"/>
    </row>
    <row r="129" spans="2:4" x14ac:dyDescent="0.35">
      <c r="B129" s="9" t="s">
        <v>18</v>
      </c>
      <c r="C129" s="34">
        <f t="shared" ref="C129" si="27">C107/C54</f>
        <v>180.1722249809655</v>
      </c>
      <c r="D129"/>
    </row>
    <row r="130" spans="2:4" x14ac:dyDescent="0.35">
      <c r="B130" s="9" t="s">
        <v>19</v>
      </c>
      <c r="C130" s="158">
        <f t="shared" ref="C130" si="28">SUM(C127:C129)</f>
        <v>369.4350971151265</v>
      </c>
      <c r="D130"/>
    </row>
    <row r="131" spans="2:4" x14ac:dyDescent="0.35">
      <c r="B131" s="42" t="s">
        <v>187</v>
      </c>
      <c r="C131" s="34">
        <f t="shared" ref="C131" si="29">C96/100*C130</f>
        <v>11.083052913453795</v>
      </c>
      <c r="D131"/>
    </row>
    <row r="132" spans="2:4" ht="7.75" customHeight="1" x14ac:dyDescent="0.35">
      <c r="B132" s="41"/>
      <c r="C132" s="24"/>
      <c r="D132"/>
    </row>
    <row r="133" spans="2:4" x14ac:dyDescent="0.35">
      <c r="B133" s="6" t="s">
        <v>46</v>
      </c>
      <c r="C133" s="21"/>
      <c r="D133"/>
    </row>
    <row r="134" spans="2:4" x14ac:dyDescent="0.35">
      <c r="B134" s="10" t="s">
        <v>47</v>
      </c>
      <c r="C134" s="26">
        <f>SUM(C130:C131)</f>
        <v>380.51815002858029</v>
      </c>
      <c r="D134"/>
    </row>
    <row r="135" spans="2:4" x14ac:dyDescent="0.35">
      <c r="B135" s="10" t="s">
        <v>48</v>
      </c>
      <c r="C135" s="109">
        <f t="shared" ref="C135" si="30">C134/(C10*C45)</f>
        <v>0.10696524147652225</v>
      </c>
      <c r="D135"/>
    </row>
    <row r="136" spans="2:4" x14ac:dyDescent="0.35">
      <c r="B136" s="10" t="s">
        <v>49</v>
      </c>
      <c r="C136" s="109">
        <f t="shared" ref="C136" si="31">C134/C10</f>
        <v>9.0599559530614364</v>
      </c>
      <c r="D136"/>
    </row>
    <row r="137" spans="2:4" x14ac:dyDescent="0.35">
      <c r="B137" s="45" t="s">
        <v>50</v>
      </c>
      <c r="C137" s="26">
        <f t="shared" ref="C137" si="32">C134/C34</f>
        <v>82.874267838941876</v>
      </c>
      <c r="D137"/>
    </row>
    <row r="138" spans="2:4" s="51" customFormat="1" x14ac:dyDescent="0.35">
      <c r="B138" s="45" t="s">
        <v>119</v>
      </c>
      <c r="C138" s="64">
        <f t="shared" ref="C138" si="33">C134/C16</f>
        <v>2.3103712812907125</v>
      </c>
    </row>
    <row r="139" spans="2:4" s="51" customFormat="1" x14ac:dyDescent="0.35">
      <c r="B139" s="45" t="s">
        <v>120</v>
      </c>
      <c r="C139" s="64">
        <f t="shared" ref="C139" si="34">C134/C12</f>
        <v>4.4925401420139348</v>
      </c>
    </row>
    <row r="140" spans="2:4" s="51" customFormat="1" x14ac:dyDescent="0.35">
      <c r="B140" s="45" t="s">
        <v>51</v>
      </c>
      <c r="C140" s="173">
        <f t="shared" ref="C140" si="35">C134*C54</f>
        <v>294816.92041025189</v>
      </c>
    </row>
    <row r="141" spans="2:4" x14ac:dyDescent="0.35">
      <c r="C141" s="21"/>
      <c r="D141"/>
    </row>
    <row r="142" spans="2:4" x14ac:dyDescent="0.35">
      <c r="B142" s="45" t="s">
        <v>464</v>
      </c>
      <c r="C142" s="116">
        <f t="shared" ref="C142" si="36">C130*C54</f>
        <v>286230.01981577853</v>
      </c>
      <c r="D142"/>
    </row>
    <row r="145" spans="5:9" x14ac:dyDescent="0.35">
      <c r="E145" s="78"/>
      <c r="F145" s="78"/>
      <c r="G145" s="78"/>
      <c r="H145" s="78"/>
      <c r="I145" s="78"/>
    </row>
    <row r="146" spans="5:9" x14ac:dyDescent="0.35">
      <c r="E146" s="80"/>
      <c r="F146" s="80"/>
      <c r="G146" s="80"/>
      <c r="H146" s="80"/>
      <c r="I146" s="78"/>
    </row>
    <row r="147" spans="5:9" x14ac:dyDescent="0.35">
      <c r="E147" s="27"/>
      <c r="F147" s="27"/>
      <c r="G147" s="27"/>
      <c r="H147" s="27"/>
      <c r="I147" s="78"/>
    </row>
    <row r="148" spans="5:9" x14ac:dyDescent="0.35">
      <c r="E148" s="160"/>
      <c r="F148" s="160"/>
      <c r="G148" s="160"/>
      <c r="H148" s="160"/>
      <c r="I148" s="78"/>
    </row>
    <row r="149" spans="5:9" x14ac:dyDescent="0.35">
      <c r="E149" s="160"/>
      <c r="F149" s="160"/>
      <c r="G149" s="160"/>
      <c r="H149" s="160"/>
      <c r="I149" s="78"/>
    </row>
    <row r="150" spans="5:9" x14ac:dyDescent="0.35">
      <c r="E150" s="27"/>
      <c r="F150" s="27"/>
      <c r="G150" s="27"/>
      <c r="H150" s="27"/>
      <c r="I150" s="78"/>
    </row>
    <row r="151" spans="5:9" x14ac:dyDescent="0.35">
      <c r="E151" s="161"/>
      <c r="F151" s="161"/>
      <c r="G151" s="161"/>
      <c r="H151" s="161"/>
      <c r="I151" s="78"/>
    </row>
    <row r="152" spans="5:9" x14ac:dyDescent="0.35">
      <c r="E152" s="161"/>
      <c r="F152" s="161"/>
      <c r="G152" s="161"/>
      <c r="H152" s="161"/>
      <c r="I152" s="78"/>
    </row>
    <row r="153" spans="5:9" x14ac:dyDescent="0.35">
      <c r="E153" s="162"/>
      <c r="F153" s="162"/>
      <c r="G153" s="162"/>
      <c r="H153" s="162"/>
      <c r="I153" s="78"/>
    </row>
    <row r="154" spans="5:9" x14ac:dyDescent="0.35">
      <c r="E154" s="32"/>
      <c r="F154" s="32"/>
      <c r="G154" s="32"/>
      <c r="H154" s="32"/>
      <c r="I154" s="78"/>
    </row>
    <row r="155" spans="5:9" x14ac:dyDescent="0.35">
      <c r="E155" s="163"/>
      <c r="F155" s="163"/>
      <c r="G155" s="163"/>
      <c r="H155" s="163"/>
      <c r="I155" s="78"/>
    </row>
    <row r="156" spans="5:9" x14ac:dyDescent="0.35">
      <c r="E156" s="164"/>
      <c r="F156" s="164"/>
      <c r="G156" s="164"/>
      <c r="H156" s="164"/>
      <c r="I156" s="78"/>
    </row>
    <row r="157" spans="5:9" x14ac:dyDescent="0.35">
      <c r="E157" s="78"/>
      <c r="F157" s="78"/>
      <c r="G157" s="78"/>
      <c r="H157" s="78"/>
      <c r="I157" s="78"/>
    </row>
    <row r="158" spans="5:9" x14ac:dyDescent="0.35">
      <c r="E158" s="165"/>
      <c r="F158" s="165"/>
      <c r="G158" s="165"/>
      <c r="H158" s="165"/>
      <c r="I158" s="78"/>
    </row>
    <row r="159" spans="5:9" x14ac:dyDescent="0.35">
      <c r="E159" s="165"/>
      <c r="F159" s="165"/>
      <c r="G159" s="165"/>
      <c r="H159" s="165"/>
      <c r="I159" s="78"/>
    </row>
    <row r="160" spans="5:9" x14ac:dyDescent="0.35">
      <c r="E160" s="78"/>
      <c r="F160" s="78"/>
      <c r="G160" s="78"/>
      <c r="H160" s="78"/>
      <c r="I160" s="78"/>
    </row>
    <row r="161" spans="5:9" x14ac:dyDescent="0.35">
      <c r="E161" s="32"/>
      <c r="F161" s="78"/>
      <c r="G161" s="78"/>
      <c r="H161" s="78"/>
      <c r="I161" s="78"/>
    </row>
    <row r="162" spans="5:9" x14ac:dyDescent="0.35">
      <c r="E162" s="166"/>
      <c r="F162" s="166"/>
      <c r="G162" s="166"/>
      <c r="H162" s="166"/>
      <c r="I162" s="78"/>
    </row>
    <row r="163" spans="5:9" x14ac:dyDescent="0.35">
      <c r="E163" s="78"/>
      <c r="F163" s="78"/>
      <c r="G163" s="78"/>
      <c r="H163" s="78"/>
      <c r="I163" s="78"/>
    </row>
    <row r="164" spans="5:9" x14ac:dyDescent="0.35">
      <c r="E164" s="78"/>
      <c r="F164" s="78"/>
      <c r="G164" s="78"/>
      <c r="H164" s="78"/>
      <c r="I164" s="78"/>
    </row>
    <row r="165" spans="5:9" x14ac:dyDescent="0.35">
      <c r="E165" s="78"/>
      <c r="F165" s="78"/>
      <c r="G165" s="78"/>
      <c r="H165" s="78"/>
      <c r="I165" s="78"/>
    </row>
    <row r="166" spans="5:9" x14ac:dyDescent="0.35">
      <c r="E166" s="78"/>
      <c r="F166" s="78"/>
      <c r="G166" s="78"/>
      <c r="H166" s="78"/>
      <c r="I166" s="78"/>
    </row>
    <row r="167" spans="5:9" x14ac:dyDescent="0.35">
      <c r="E167" s="78"/>
      <c r="F167" s="78"/>
      <c r="G167" s="78"/>
      <c r="H167" s="78"/>
      <c r="I167" s="78"/>
    </row>
    <row r="168" spans="5:9" x14ac:dyDescent="0.35">
      <c r="E168" s="78"/>
      <c r="F168" s="78"/>
      <c r="G168" s="78"/>
      <c r="H168" s="78"/>
      <c r="I168" s="78"/>
    </row>
    <row r="169" spans="5:9" x14ac:dyDescent="0.35">
      <c r="E169" s="78"/>
      <c r="F169" s="78"/>
      <c r="G169" s="78"/>
      <c r="H169" s="78"/>
      <c r="I169" s="78"/>
    </row>
    <row r="170" spans="5:9" x14ac:dyDescent="0.35">
      <c r="E170" s="78"/>
      <c r="F170" s="78"/>
      <c r="G170" s="78"/>
      <c r="H170" s="78"/>
      <c r="I170" s="78"/>
    </row>
    <row r="171" spans="5:9" x14ac:dyDescent="0.35">
      <c r="E171" s="78"/>
      <c r="F171" s="78"/>
      <c r="G171" s="78"/>
      <c r="H171" s="78"/>
      <c r="I171" s="78"/>
    </row>
    <row r="172" spans="5:9" x14ac:dyDescent="0.35">
      <c r="E172" s="78"/>
      <c r="F172" s="78"/>
      <c r="G172" s="78"/>
      <c r="H172" s="78"/>
      <c r="I172" s="78"/>
    </row>
    <row r="173" spans="5:9" x14ac:dyDescent="0.35">
      <c r="E173" s="78"/>
      <c r="F173" s="78"/>
      <c r="G173" s="78"/>
      <c r="H173" s="78"/>
      <c r="I173" s="78"/>
    </row>
    <row r="174" spans="5:9" x14ac:dyDescent="0.35">
      <c r="E174" s="78"/>
      <c r="F174" s="78"/>
      <c r="G174" s="78"/>
      <c r="H174" s="78"/>
      <c r="I174" s="78"/>
    </row>
    <row r="175" spans="5:9" x14ac:dyDescent="0.35">
      <c r="E175" s="78"/>
      <c r="F175" s="78"/>
      <c r="G175" s="78"/>
      <c r="H175" s="78"/>
      <c r="I175" s="78"/>
    </row>
    <row r="176" spans="5:9" x14ac:dyDescent="0.35">
      <c r="E176" s="78"/>
      <c r="F176" s="78"/>
      <c r="G176" s="78"/>
      <c r="H176" s="78"/>
      <c r="I176" s="78"/>
    </row>
    <row r="177" spans="5:9" x14ac:dyDescent="0.35">
      <c r="E177" s="78"/>
      <c r="F177" s="78"/>
      <c r="G177" s="78"/>
      <c r="H177" s="78"/>
      <c r="I177" s="78"/>
    </row>
    <row r="178" spans="5:9" x14ac:dyDescent="0.35">
      <c r="E178" s="78"/>
      <c r="F178" s="78"/>
      <c r="G178" s="78"/>
      <c r="H178" s="78"/>
      <c r="I178" s="78"/>
    </row>
    <row r="179" spans="5:9" x14ac:dyDescent="0.35">
      <c r="E179" s="78"/>
      <c r="F179" s="78"/>
      <c r="G179" s="78"/>
      <c r="H179" s="78"/>
      <c r="I179" s="78"/>
    </row>
    <row r="180" spans="5:9" x14ac:dyDescent="0.35">
      <c r="E180" s="78"/>
      <c r="F180" s="78"/>
      <c r="G180" s="78"/>
      <c r="H180" s="78"/>
      <c r="I180" s="78"/>
    </row>
    <row r="181" spans="5:9" x14ac:dyDescent="0.35">
      <c r="E181" s="78"/>
      <c r="F181" s="78"/>
      <c r="G181" s="78"/>
      <c r="H181" s="78"/>
      <c r="I181" s="78"/>
    </row>
  </sheetData>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145"/>
  <sheetViews>
    <sheetView zoomScale="90" zoomScaleNormal="90" workbookViewId="0">
      <selection activeCell="J42" sqref="J42"/>
    </sheetView>
  </sheetViews>
  <sheetFormatPr defaultColWidth="8.90625" defaultRowHeight="14.5" x14ac:dyDescent="0.35"/>
  <cols>
    <col min="1" max="1" width="2.36328125" style="51" customWidth="1"/>
    <col min="2" max="2" width="68.6328125" style="51" customWidth="1"/>
    <col min="3" max="3" width="27.453125" style="20" customWidth="1"/>
    <col min="4" max="16384" width="8.90625" style="51"/>
  </cols>
  <sheetData>
    <row r="1" spans="2:7" s="184" customFormat="1" ht="28.5" x14ac:dyDescent="0.65">
      <c r="B1" s="358" t="s">
        <v>453</v>
      </c>
      <c r="C1" s="20"/>
    </row>
    <row r="2" spans="2:7" s="184" customFormat="1" x14ac:dyDescent="0.35">
      <c r="C2" s="20"/>
    </row>
    <row r="3" spans="2:7" s="76" customFormat="1" x14ac:dyDescent="0.35">
      <c r="C3" s="20"/>
    </row>
    <row r="4" spans="2:7" x14ac:dyDescent="0.35">
      <c r="C4" s="156" t="s">
        <v>96</v>
      </c>
      <c r="D4" s="156"/>
      <c r="E4" s="156"/>
      <c r="F4" s="156"/>
      <c r="G4" s="156"/>
    </row>
    <row r="5" spans="2:7" x14ac:dyDescent="0.35">
      <c r="B5" s="40"/>
      <c r="C5" s="50" t="s">
        <v>193</v>
      </c>
      <c r="D5" s="50"/>
      <c r="E5" s="50"/>
      <c r="F5" s="50"/>
      <c r="G5" s="50"/>
    </row>
    <row r="6" spans="2:7" s="76" customFormat="1" x14ac:dyDescent="0.35">
      <c r="B6" s="40"/>
      <c r="C6" s="155" t="s">
        <v>194</v>
      </c>
      <c r="D6" s="155"/>
      <c r="E6" s="155"/>
      <c r="F6" s="155"/>
      <c r="G6" s="155"/>
    </row>
    <row r="7" spans="2:7" ht="19" thickBot="1" x14ac:dyDescent="0.5">
      <c r="B7" s="5" t="s">
        <v>0</v>
      </c>
    </row>
    <row r="8" spans="2:7" ht="14.4" customHeight="1" thickBot="1" x14ac:dyDescent="0.4">
      <c r="B8" s="179" t="s">
        <v>203</v>
      </c>
      <c r="C8" s="127" t="s">
        <v>206</v>
      </c>
    </row>
    <row r="9" spans="2:7" x14ac:dyDescent="0.35">
      <c r="B9" s="54" t="s">
        <v>42</v>
      </c>
    </row>
    <row r="10" spans="2:7" x14ac:dyDescent="0.35">
      <c r="B10" s="17" t="s">
        <v>52</v>
      </c>
    </row>
    <row r="11" spans="2:7" x14ac:dyDescent="0.35">
      <c r="B11" s="55" t="s">
        <v>58</v>
      </c>
      <c r="C11" s="22">
        <v>65.2</v>
      </c>
    </row>
    <row r="12" spans="2:7" x14ac:dyDescent="0.35">
      <c r="B12" s="55" t="s">
        <v>172</v>
      </c>
      <c r="C12" s="22">
        <v>42</v>
      </c>
    </row>
    <row r="13" spans="2:7" x14ac:dyDescent="0.35">
      <c r="B13" s="17" t="s">
        <v>53</v>
      </c>
      <c r="C13" s="24"/>
    </row>
    <row r="14" spans="2:7" x14ac:dyDescent="0.35">
      <c r="B14" s="55" t="s">
        <v>54</v>
      </c>
      <c r="C14" s="61">
        <f>'B2. Road; distance distribution'!J48</f>
        <v>84.182808155768583</v>
      </c>
    </row>
    <row r="15" spans="2:7" x14ac:dyDescent="0.35">
      <c r="B15" s="55" t="s">
        <v>55</v>
      </c>
      <c r="C15" s="174">
        <f>'B2. Road; distance distribution'!C10</f>
        <v>6.5</v>
      </c>
    </row>
    <row r="16" spans="2:7" x14ac:dyDescent="0.35">
      <c r="B16" s="55" t="s">
        <v>56</v>
      </c>
      <c r="C16" s="25">
        <f>C14-C15</f>
        <v>77.682808155768583</v>
      </c>
    </row>
    <row r="17" spans="2:4" x14ac:dyDescent="0.35">
      <c r="B17" s="78" t="s">
        <v>110</v>
      </c>
      <c r="C17" s="62">
        <f>'B2. Road; distance distribution'!J61</f>
        <v>84.182808155768583</v>
      </c>
    </row>
    <row r="18" spans="2:4" x14ac:dyDescent="0.35">
      <c r="B18" s="55" t="s">
        <v>57</v>
      </c>
      <c r="C18" s="26">
        <f>C14+C17</f>
        <v>168.36561631153717</v>
      </c>
    </row>
    <row r="19" spans="2:4" s="76" customFormat="1" x14ac:dyDescent="0.35">
      <c r="B19" s="78" t="s">
        <v>167</v>
      </c>
      <c r="C19" s="85"/>
      <c r="D19" s="119">
        <f>C19/C56</f>
        <v>0</v>
      </c>
    </row>
    <row r="20" spans="2:4" x14ac:dyDescent="0.35">
      <c r="B20" s="17" t="s">
        <v>59</v>
      </c>
      <c r="C20" s="27"/>
    </row>
    <row r="21" spans="2:4" x14ac:dyDescent="0.35">
      <c r="B21" s="78" t="s">
        <v>60</v>
      </c>
      <c r="C21" s="62">
        <f>('B2. Road; distance distribution'!J57-('B2. Road; distance distribution'!C22*'B2. Road; distance distribution'!H18+'B2. Road; distance distribution'!C23*'B2. Road; distance distribution'!H18))/'B2. Road; distance distribution'!J57*100</f>
        <v>88.418062768874393</v>
      </c>
    </row>
    <row r="22" spans="2:4" x14ac:dyDescent="0.35">
      <c r="B22" s="78" t="s">
        <v>61</v>
      </c>
      <c r="C22" s="62">
        <f>('B2. Road; distance distribution'!C22*'B2. Road; distance distribution'!H18)/'B2. Road; distance distribution'!J57*100</f>
        <v>8.3152369864491504</v>
      </c>
    </row>
    <row r="23" spans="2:4" x14ac:dyDescent="0.35">
      <c r="B23" s="78" t="s">
        <v>62</v>
      </c>
      <c r="C23" s="62">
        <f>('B2. Road; distance distribution'!C23*'B2. Road; distance distribution'!H18)/'B2. Road; distance distribution'!J57*100</f>
        <v>3.2667002446764517</v>
      </c>
    </row>
    <row r="24" spans="2:4" x14ac:dyDescent="0.35">
      <c r="B24" s="17" t="s">
        <v>175</v>
      </c>
      <c r="C24" s="24"/>
    </row>
    <row r="25" spans="2:4" x14ac:dyDescent="0.35">
      <c r="B25" s="55" t="s">
        <v>63</v>
      </c>
      <c r="C25" s="62">
        <f>('B2. Road; distance distribution'!C29*'B2. Road; distance distribution'!C57+'B2. Road; distance distribution'!D29*'B2. Road; distance distribution'!D57+'B2. Road; distance distribution'!E29*'B2. Road; distance distribution'!E57+'B2. Road; distance distribution'!F29*'B2. Road; distance distribution'!F57+'B2. Road; distance distribution'!G29*'B2. Road; distance distribution'!G57)/'B2. Road; distance distribution'!J57</f>
        <v>69.588284137077977</v>
      </c>
    </row>
    <row r="26" spans="2:4" x14ac:dyDescent="0.35">
      <c r="B26" s="78" t="s">
        <v>64</v>
      </c>
      <c r="C26" s="62">
        <f>'B2. Road; distance distribution'!C28</f>
        <v>36</v>
      </c>
    </row>
    <row r="27" spans="2:4" x14ac:dyDescent="0.35">
      <c r="B27" s="78" t="s">
        <v>174</v>
      </c>
      <c r="C27" s="62">
        <f>'B2. Road; distance distribution'!C27</f>
        <v>17.8</v>
      </c>
    </row>
    <row r="28" spans="2:4" ht="1.75" customHeight="1" x14ac:dyDescent="0.35">
      <c r="B28" s="55"/>
      <c r="C28" s="76"/>
    </row>
    <row r="29" spans="2:4" x14ac:dyDescent="0.35">
      <c r="B29" s="17" t="s">
        <v>65</v>
      </c>
      <c r="C29" s="24"/>
    </row>
    <row r="30" spans="2:4" x14ac:dyDescent="0.35">
      <c r="B30" s="55" t="s">
        <v>66</v>
      </c>
      <c r="C30" s="175">
        <f>'B2. Road; distance distribution'!C32</f>
        <v>0.8</v>
      </c>
    </row>
    <row r="31" spans="2:4" x14ac:dyDescent="0.35">
      <c r="B31" s="55" t="s">
        <v>67</v>
      </c>
      <c r="C31" s="175">
        <f>'B2. Road; distance distribution'!C33</f>
        <v>0.4</v>
      </c>
    </row>
    <row r="32" spans="2:4" x14ac:dyDescent="0.35">
      <c r="B32" s="55" t="s">
        <v>95</v>
      </c>
      <c r="C32" s="63">
        <f>'B2. Road; distance distribution'!H34</f>
        <v>0.48673123262307427</v>
      </c>
    </row>
    <row r="33" spans="2:9" ht="15" thickBot="1" x14ac:dyDescent="0.4">
      <c r="B33" s="55" t="s">
        <v>68</v>
      </c>
      <c r="C33" s="63">
        <f>'B2. Road; distance distribution'!J62</f>
        <v>1.3221128071403165</v>
      </c>
    </row>
    <row r="34" spans="2:9" x14ac:dyDescent="0.35">
      <c r="B34" s="55" t="s">
        <v>69</v>
      </c>
      <c r="C34" s="63">
        <f>'B2. Road; distance distribution'!J63</f>
        <v>1.4181637458740395</v>
      </c>
      <c r="F34" s="132"/>
      <c r="G34" s="133" t="s">
        <v>160</v>
      </c>
      <c r="H34" s="134">
        <f>'B2. Road; distance distribution'!H102</f>
        <v>12710.075901422359</v>
      </c>
      <c r="I34" s="135" t="s">
        <v>164</v>
      </c>
    </row>
    <row r="35" spans="2:9" ht="15" thickBot="1" x14ac:dyDescent="0.4">
      <c r="B35" s="55" t="s">
        <v>70</v>
      </c>
      <c r="C35" s="63">
        <f>'B2. Road; distance distribution'!J64</f>
        <v>0.18055555555555547</v>
      </c>
      <c r="F35" s="136"/>
      <c r="G35" s="137" t="s">
        <v>161</v>
      </c>
      <c r="H35" s="138">
        <f>'B2. Road; distance distribution'!H103</f>
        <v>4.2207705858041695</v>
      </c>
      <c r="I35" s="139" t="s">
        <v>132</v>
      </c>
    </row>
    <row r="36" spans="2:9" x14ac:dyDescent="0.35">
      <c r="B36" s="56" t="s">
        <v>71</v>
      </c>
      <c r="C36" s="109">
        <f>SUM(C30:C35)</f>
        <v>4.6075633411929857</v>
      </c>
    </row>
    <row r="37" spans="2:9" x14ac:dyDescent="0.35">
      <c r="B37" s="55" t="s">
        <v>72</v>
      </c>
      <c r="C37" s="86">
        <v>3</v>
      </c>
    </row>
    <row r="38" spans="2:9" x14ac:dyDescent="0.35">
      <c r="B38" s="17" t="s">
        <v>45</v>
      </c>
      <c r="C38" s="30"/>
    </row>
    <row r="39" spans="2:9" x14ac:dyDescent="0.35">
      <c r="B39" s="11" t="s">
        <v>43</v>
      </c>
      <c r="C39" s="62">
        <f>('B2. Road; distance distribution'!C41*'B2. Road; distance distribution'!C59+'B2. Road; distance distribution'!D41*'B2. Road; distance distribution'!D59+'B2. Road; distance distribution'!E41*'B2. Road; distance distribution'!E59+'B2. Road; distance distribution'!F41*'B2. Road; distance distribution'!F59+'B2. Road; distance distribution'!G41*'B2. Road; distance distribution'!G59)/'B2. Road; distance distribution'!L59</f>
        <v>58.443996826938424</v>
      </c>
    </row>
    <row r="40" spans="2:9" x14ac:dyDescent="0.35">
      <c r="B40" s="11" t="s">
        <v>44</v>
      </c>
      <c r="C40" s="62">
        <f>('B2. Road; distance distribution'!C42*'B2. Road; distance distribution'!C60+'B2. Road; distance distribution'!D42*'B2. Road; distance distribution'!D60+'B2. Road; distance distribution'!E42*'B2. Road; distance distribution'!E60+'B2. Road; distance distribution'!F42*'B2. Road; distance distribution'!F60+'B2. Road; distance distribution'!G42*'B2. Road; distance distribution'!G60)/'B2. Road; distance distribution'!L60</f>
        <v>76.999999999999986</v>
      </c>
    </row>
    <row r="41" spans="2:9" x14ac:dyDescent="0.35">
      <c r="B41" s="11" t="s">
        <v>73</v>
      </c>
      <c r="C41" s="62">
        <f>('B2. Road; distance distribution'!C43*'B2. Road; distance distribution'!C61+'B2. Road; distance distribution'!D43*'B2. Road; distance distribution'!D61+'B2. Road; distance distribution'!E43*'B2. Road; distance distribution'!E61+'B2. Road; distance distribution'!F43*'B2. Road; distance distribution'!F61+'B2. Road; distance distribution'!G43*'B2. Road; distance distribution'!G61)/'B2. Road; distance distribution'!L61</f>
        <v>41.243617807153989</v>
      </c>
    </row>
    <row r="42" spans="2:9" x14ac:dyDescent="0.35">
      <c r="B42" s="11" t="s">
        <v>204</v>
      </c>
      <c r="C42" s="62">
        <f>'B2. Road; distance distribution'!C44</f>
        <v>8</v>
      </c>
    </row>
    <row r="43" spans="2:9" s="55" customFormat="1" ht="8.4" customHeight="1" x14ac:dyDescent="0.35">
      <c r="B43" s="11"/>
      <c r="C43" s="24"/>
    </row>
    <row r="44" spans="2:9" x14ac:dyDescent="0.35">
      <c r="B44" s="17" t="s">
        <v>86</v>
      </c>
      <c r="C44" s="74">
        <v>3557.4</v>
      </c>
    </row>
    <row r="45" spans="2:9" s="55" customFormat="1" ht="9" customHeight="1" x14ac:dyDescent="0.35">
      <c r="B45" s="11"/>
      <c r="C45" s="24"/>
    </row>
    <row r="46" spans="2:9" x14ac:dyDescent="0.35">
      <c r="B46" s="18" t="s">
        <v>75</v>
      </c>
      <c r="C46" s="30"/>
    </row>
    <row r="47" spans="2:9" x14ac:dyDescent="0.35">
      <c r="B47" s="8" t="s">
        <v>76</v>
      </c>
      <c r="C47" s="26">
        <f>C14</f>
        <v>84.182808155768583</v>
      </c>
    </row>
    <row r="48" spans="2:9" x14ac:dyDescent="0.35">
      <c r="B48" s="19" t="s">
        <v>77</v>
      </c>
      <c r="C48" s="26">
        <f>C18</f>
        <v>168.36561631153717</v>
      </c>
    </row>
    <row r="49" spans="2:4" x14ac:dyDescent="0.35">
      <c r="B49" s="19" t="s">
        <v>78</v>
      </c>
      <c r="C49" s="26">
        <f>C36</f>
        <v>4.6075633411929857</v>
      </c>
    </row>
    <row r="50" spans="2:4" x14ac:dyDescent="0.35">
      <c r="B50" s="19" t="s">
        <v>79</v>
      </c>
      <c r="C50" s="26">
        <f>C18/(C33+C34+C35)</f>
        <v>57.643031181950349</v>
      </c>
    </row>
    <row r="51" spans="2:4" x14ac:dyDescent="0.35">
      <c r="B51" s="19" t="s">
        <v>80</v>
      </c>
      <c r="C51" s="26">
        <f>(C39*(C16/100)+C40*(C15/100)+C41*(C17/100)+C42*(C30+C74/100*C31))/(C18/100)</f>
        <v>55.31175285600608</v>
      </c>
    </row>
    <row r="52" spans="2:4" s="76" customFormat="1" x14ac:dyDescent="0.35">
      <c r="B52" s="19" t="s">
        <v>150</v>
      </c>
      <c r="C52" s="109">
        <f>(C18/100*C51)/(C12*C14)</f>
        <v>2.6338929931431467E-2</v>
      </c>
      <c r="D52" s="141" t="s">
        <v>474</v>
      </c>
    </row>
    <row r="53" spans="2:4" s="76" customFormat="1" x14ac:dyDescent="0.35">
      <c r="B53" s="19" t="s">
        <v>145</v>
      </c>
      <c r="C53" s="26">
        <f>C58/100*C51</f>
        <v>71900.550011487823</v>
      </c>
    </row>
    <row r="54" spans="2:4" x14ac:dyDescent="0.35">
      <c r="B54" s="19" t="s">
        <v>143</v>
      </c>
      <c r="C54" s="26">
        <f>C44</f>
        <v>3557.4</v>
      </c>
    </row>
    <row r="55" spans="2:4" x14ac:dyDescent="0.35">
      <c r="B55" s="19" t="s">
        <v>144</v>
      </c>
      <c r="C55" s="26">
        <f>C54*((100+C37)/100)</f>
        <v>3664.1220000000003</v>
      </c>
    </row>
    <row r="56" spans="2:4" x14ac:dyDescent="0.35">
      <c r="B56" s="8" t="s">
        <v>146</v>
      </c>
      <c r="C56" s="26">
        <f>C44/C36</f>
        <v>772.07837127181449</v>
      </c>
    </row>
    <row r="57" spans="2:4" x14ac:dyDescent="0.35">
      <c r="B57" s="8" t="s">
        <v>147</v>
      </c>
      <c r="C57" s="26">
        <f>C12*C56</f>
        <v>32427.291593416208</v>
      </c>
    </row>
    <row r="58" spans="2:4" x14ac:dyDescent="0.35">
      <c r="B58" s="10" t="s">
        <v>148</v>
      </c>
      <c r="C58" s="26">
        <f>C18*C56+C19</f>
        <v>129991.45081998686</v>
      </c>
    </row>
    <row r="59" spans="2:4" x14ac:dyDescent="0.35">
      <c r="B59" s="10" t="s">
        <v>168</v>
      </c>
      <c r="C59" s="60">
        <f>C17/C18*100</f>
        <v>50</v>
      </c>
    </row>
    <row r="60" spans="2:4" x14ac:dyDescent="0.35">
      <c r="B60" s="3"/>
    </row>
    <row r="61" spans="2:4" x14ac:dyDescent="0.35">
      <c r="B61" s="54" t="s">
        <v>1</v>
      </c>
    </row>
    <row r="62" spans="2:4" x14ac:dyDescent="0.35">
      <c r="B62" s="51" t="s">
        <v>94</v>
      </c>
      <c r="C62" s="23"/>
    </row>
    <row r="63" spans="2:4" x14ac:dyDescent="0.35">
      <c r="B63" s="12" t="s">
        <v>4</v>
      </c>
      <c r="C63" s="23">
        <v>180106.67467448785</v>
      </c>
    </row>
    <row r="64" spans="2:4" x14ac:dyDescent="0.35">
      <c r="B64" s="12" t="s">
        <v>3</v>
      </c>
      <c r="C64" s="23">
        <v>60553.726178731726</v>
      </c>
    </row>
    <row r="65" spans="2:3" x14ac:dyDescent="0.35">
      <c r="B65" s="12" t="s">
        <v>2</v>
      </c>
      <c r="C65" s="23">
        <v>57831.844634048794</v>
      </c>
    </row>
    <row r="66" spans="2:3" x14ac:dyDescent="0.35">
      <c r="B66" s="2" t="s">
        <v>38</v>
      </c>
      <c r="C66" s="23"/>
    </row>
    <row r="67" spans="2:3" x14ac:dyDescent="0.35">
      <c r="B67" s="12" t="s">
        <v>32</v>
      </c>
      <c r="C67" s="23">
        <v>821320</v>
      </c>
    </row>
    <row r="68" spans="2:3" x14ac:dyDescent="0.35">
      <c r="B68" s="12" t="s">
        <v>33</v>
      </c>
      <c r="C68" s="23">
        <v>1211320</v>
      </c>
    </row>
    <row r="69" spans="2:3" x14ac:dyDescent="0.35">
      <c r="B69" s="12" t="s">
        <v>34</v>
      </c>
      <c r="C69" s="23">
        <v>5360</v>
      </c>
    </row>
    <row r="70" spans="2:3" x14ac:dyDescent="0.35">
      <c r="B70" s="2" t="s">
        <v>39</v>
      </c>
      <c r="C70" s="23"/>
    </row>
    <row r="71" spans="2:3" x14ac:dyDescent="0.35">
      <c r="B71" s="12" t="s">
        <v>35</v>
      </c>
      <c r="C71" s="23">
        <v>20.399999999999999</v>
      </c>
    </row>
    <row r="72" spans="2:3" x14ac:dyDescent="0.35">
      <c r="B72" s="12" t="s">
        <v>36</v>
      </c>
      <c r="C72" s="23">
        <v>11.8</v>
      </c>
    </row>
    <row r="73" spans="2:3" x14ac:dyDescent="0.35">
      <c r="B73" s="12" t="s">
        <v>37</v>
      </c>
      <c r="C73" s="23">
        <v>10.8</v>
      </c>
    </row>
    <row r="74" spans="2:3" s="76" customFormat="1" x14ac:dyDescent="0.35">
      <c r="B74" s="79" t="s">
        <v>189</v>
      </c>
      <c r="C74" s="81">
        <v>50</v>
      </c>
    </row>
    <row r="75" spans="2:3" x14ac:dyDescent="0.35">
      <c r="B75" s="2" t="s">
        <v>40</v>
      </c>
      <c r="C75" s="82">
        <v>7.325000000000001E-2</v>
      </c>
    </row>
    <row r="76" spans="2:3" x14ac:dyDescent="0.35">
      <c r="B76" s="13" t="s">
        <v>41</v>
      </c>
      <c r="C76" s="23"/>
    </row>
    <row r="77" spans="2:3" x14ac:dyDescent="0.35">
      <c r="B77" s="14" t="s">
        <v>22</v>
      </c>
      <c r="C77" s="23"/>
    </row>
    <row r="78" spans="2:3" x14ac:dyDescent="0.35">
      <c r="B78" s="14" t="s">
        <v>23</v>
      </c>
      <c r="C78" s="23"/>
    </row>
    <row r="79" spans="2:3" x14ac:dyDescent="0.35">
      <c r="B79" s="14" t="s">
        <v>24</v>
      </c>
      <c r="C79" s="23"/>
    </row>
    <row r="80" spans="2:3" x14ac:dyDescent="0.35">
      <c r="B80" s="14" t="s">
        <v>25</v>
      </c>
      <c r="C80" s="23"/>
    </row>
    <row r="81" spans="2:3" x14ac:dyDescent="0.35">
      <c r="B81" s="14" t="s">
        <v>7</v>
      </c>
      <c r="C81" s="81"/>
    </row>
    <row r="82" spans="2:3" x14ac:dyDescent="0.35">
      <c r="B82" s="14" t="s">
        <v>8</v>
      </c>
      <c r="C82" s="81"/>
    </row>
    <row r="83" spans="2:3" x14ac:dyDescent="0.35">
      <c r="B83" s="14" t="s">
        <v>21</v>
      </c>
      <c r="C83" s="81"/>
    </row>
    <row r="84" spans="2:3" x14ac:dyDescent="0.35">
      <c r="B84" s="1"/>
      <c r="C84" s="23"/>
    </row>
    <row r="85" spans="2:3" x14ac:dyDescent="0.35">
      <c r="B85" s="2" t="s">
        <v>5</v>
      </c>
      <c r="C85" s="23">
        <v>6915.2948495756118</v>
      </c>
    </row>
    <row r="86" spans="2:3" x14ac:dyDescent="0.35">
      <c r="B86" s="2" t="s">
        <v>6</v>
      </c>
      <c r="C86" s="23">
        <v>8035.4228325112199</v>
      </c>
    </row>
    <row r="87" spans="2:3" x14ac:dyDescent="0.35">
      <c r="B87" s="2" t="s">
        <v>134</v>
      </c>
      <c r="C87" s="23">
        <v>1.044</v>
      </c>
    </row>
    <row r="88" spans="2:3" s="76" customFormat="1" x14ac:dyDescent="0.35">
      <c r="B88" s="150" t="s">
        <v>183</v>
      </c>
      <c r="C88" s="81">
        <v>0.6</v>
      </c>
    </row>
    <row r="89" spans="2:3" s="76" customFormat="1" x14ac:dyDescent="0.35">
      <c r="B89" s="150" t="s">
        <v>184</v>
      </c>
      <c r="C89" s="81">
        <v>2</v>
      </c>
    </row>
    <row r="90" spans="2:3" x14ac:dyDescent="0.35">
      <c r="B90" s="13" t="s">
        <v>135</v>
      </c>
      <c r="C90" s="23"/>
    </row>
    <row r="91" spans="2:3" x14ac:dyDescent="0.35">
      <c r="B91" s="2" t="s">
        <v>136</v>
      </c>
      <c r="C91" s="35">
        <v>0.2063945392123791</v>
      </c>
    </row>
    <row r="92" spans="2:3" x14ac:dyDescent="0.35">
      <c r="B92" s="2" t="s">
        <v>137</v>
      </c>
      <c r="C92" s="23"/>
    </row>
    <row r="93" spans="2:3" x14ac:dyDescent="0.35">
      <c r="B93" s="13" t="s">
        <v>138</v>
      </c>
      <c r="C93" s="23"/>
    </row>
    <row r="94" spans="2:3" x14ac:dyDescent="0.35">
      <c r="B94" s="2" t="s">
        <v>139</v>
      </c>
      <c r="C94" s="23">
        <v>4.0999999999999996</v>
      </c>
    </row>
    <row r="95" spans="2:3" x14ac:dyDescent="0.35">
      <c r="B95" s="2" t="s">
        <v>140</v>
      </c>
      <c r="C95" s="81">
        <v>24.5</v>
      </c>
    </row>
    <row r="96" spans="2:3" x14ac:dyDescent="0.35">
      <c r="B96" s="13" t="s">
        <v>141</v>
      </c>
      <c r="C96" s="23">
        <v>30.884000000000004</v>
      </c>
    </row>
    <row r="97" spans="2:3" x14ac:dyDescent="0.35">
      <c r="B97" s="150" t="s">
        <v>188</v>
      </c>
      <c r="C97" s="81"/>
    </row>
    <row r="98" spans="2:3" x14ac:dyDescent="0.35">
      <c r="B98" s="2"/>
      <c r="C98" s="24"/>
    </row>
    <row r="99" spans="2:3" x14ac:dyDescent="0.35">
      <c r="B99" s="2"/>
      <c r="C99" s="24"/>
    </row>
    <row r="100" spans="2:3" x14ac:dyDescent="0.35">
      <c r="C100" s="24"/>
    </row>
    <row r="101" spans="2:3" ht="18.5" x14ac:dyDescent="0.45">
      <c r="B101" s="5" t="s">
        <v>9</v>
      </c>
    </row>
    <row r="102" spans="2:3" x14ac:dyDescent="0.35">
      <c r="B102" s="6" t="s">
        <v>28</v>
      </c>
    </row>
    <row r="103" spans="2:3" ht="4.25" customHeight="1" x14ac:dyDescent="0.35">
      <c r="B103" s="1"/>
    </row>
    <row r="104" spans="2:3" x14ac:dyDescent="0.35">
      <c r="B104" s="2" t="s">
        <v>87</v>
      </c>
      <c r="C104" s="36">
        <f>C$94/100*((C63-C81+(C71/100*(C63-C81)))/2)</f>
        <v>4445.3929443157085</v>
      </c>
    </row>
    <row r="105" spans="2:3" x14ac:dyDescent="0.35">
      <c r="B105" s="2" t="s">
        <v>88</v>
      </c>
      <c r="C105" s="36">
        <f>C$94/100*((C64-C82+(C72/100*(C64-C82)))/2)</f>
        <v>1387.8308502903521</v>
      </c>
    </row>
    <row r="106" spans="2:3" x14ac:dyDescent="0.35">
      <c r="B106" s="2" t="s">
        <v>89</v>
      </c>
      <c r="C106" s="36">
        <f>C$94/100*((C65+(C73/100*(C65)))/2)</f>
        <v>1313.5925190177841</v>
      </c>
    </row>
    <row r="107" spans="2:3" x14ac:dyDescent="0.35">
      <c r="B107" s="2" t="s">
        <v>90</v>
      </c>
      <c r="C107" s="36">
        <f>C85</f>
        <v>6915.2948495756118</v>
      </c>
    </row>
    <row r="108" spans="2:3" x14ac:dyDescent="0.35">
      <c r="B108" s="2" t="s">
        <v>91</v>
      </c>
      <c r="C108" s="36">
        <f>C86</f>
        <v>8035.4228325112199</v>
      </c>
    </row>
    <row r="109" spans="2:3" x14ac:dyDescent="0.35">
      <c r="B109" s="2" t="s">
        <v>92</v>
      </c>
      <c r="C109" s="36">
        <f>C95*C55+(C95*C96/100*C55)+C97</f>
        <v>117495.86124276</v>
      </c>
    </row>
    <row r="110" spans="2:3" x14ac:dyDescent="0.35">
      <c r="B110" s="6" t="s">
        <v>93</v>
      </c>
      <c r="C110" s="37">
        <f>SUM(C104:C109)</f>
        <v>139593.39523847069</v>
      </c>
    </row>
    <row r="112" spans="2:3" x14ac:dyDescent="0.35">
      <c r="B112" s="6" t="s">
        <v>98</v>
      </c>
    </row>
    <row r="113" spans="2:5" ht="4.75" customHeight="1" x14ac:dyDescent="0.35"/>
    <row r="114" spans="2:5" x14ac:dyDescent="0.35">
      <c r="B114" s="2" t="s">
        <v>10</v>
      </c>
      <c r="C114" s="38">
        <f>(C63-C81-(C71/100*(C63-C81)))/C67</f>
        <v>0.17455427000546966</v>
      </c>
    </row>
    <row r="115" spans="2:5" x14ac:dyDescent="0.35">
      <c r="B115" s="2" t="s">
        <v>11</v>
      </c>
      <c r="C115" s="38">
        <f>(C64-C82-(C72/100*(C64-C82)))/C68</f>
        <v>4.4091063046627958E-2</v>
      </c>
    </row>
    <row r="116" spans="2:5" x14ac:dyDescent="0.35">
      <c r="B116" s="2" t="s">
        <v>20</v>
      </c>
      <c r="C116" s="38">
        <f>(C65-C73/100*C65)/C69</f>
        <v>9.6242547413379711</v>
      </c>
    </row>
    <row r="117" spans="2:5" x14ac:dyDescent="0.35">
      <c r="B117" s="2" t="s">
        <v>12</v>
      </c>
      <c r="C117" s="38">
        <f>C75</f>
        <v>7.325000000000001E-2</v>
      </c>
    </row>
    <row r="118" spans="2:5" x14ac:dyDescent="0.35">
      <c r="B118" s="2" t="s">
        <v>13</v>
      </c>
      <c r="C118" s="180">
        <f>C91</f>
        <v>0.2063945392123791</v>
      </c>
    </row>
    <row r="119" spans="2:5" x14ac:dyDescent="0.35">
      <c r="B119" s="12" t="s">
        <v>26</v>
      </c>
      <c r="C119" s="38"/>
    </row>
    <row r="120" spans="2:5" x14ac:dyDescent="0.35">
      <c r="B120" s="2" t="s">
        <v>185</v>
      </c>
      <c r="C120" s="38"/>
    </row>
    <row r="121" spans="2:5" x14ac:dyDescent="0.35">
      <c r="B121" s="12" t="s">
        <v>14</v>
      </c>
      <c r="C121" s="38">
        <f>(C14/100*C39+C15/100*C40)*C87/(C14+C15)+(C89/100*C88)</f>
        <v>0.63604120448259593</v>
      </c>
    </row>
    <row r="122" spans="2:5" x14ac:dyDescent="0.35">
      <c r="B122" s="12" t="s">
        <v>15</v>
      </c>
      <c r="C122" s="38">
        <f>C41/100*C87+(C89/100*C88)</f>
        <v>0.44258336990668767</v>
      </c>
    </row>
    <row r="123" spans="2:5" x14ac:dyDescent="0.35">
      <c r="B123" s="12" t="s">
        <v>205</v>
      </c>
      <c r="C123" s="38">
        <f>(C30+C74/100*C31)*C42*C87</f>
        <v>8.3520000000000003</v>
      </c>
    </row>
    <row r="124" spans="2:5" x14ac:dyDescent="0.35">
      <c r="B124" s="12" t="s">
        <v>30</v>
      </c>
      <c r="C124" s="36">
        <f>C121*C14</f>
        <v>53.54373469612235</v>
      </c>
    </row>
    <row r="125" spans="2:5" s="76" customFormat="1" x14ac:dyDescent="0.35">
      <c r="B125" s="12" t="s">
        <v>31</v>
      </c>
      <c r="C125" s="36">
        <f>C122*C17+(C19/C56*C122)</f>
        <v>37.257910921788252</v>
      </c>
      <c r="D125" s="142">
        <f>C19/C56*C122</f>
        <v>0</v>
      </c>
      <c r="E125" s="141" t="s">
        <v>166</v>
      </c>
    </row>
    <row r="126" spans="2:5" x14ac:dyDescent="0.35">
      <c r="B126" s="12"/>
    </row>
    <row r="127" spans="2:5" x14ac:dyDescent="0.35">
      <c r="B127" s="6" t="s">
        <v>29</v>
      </c>
    </row>
    <row r="128" spans="2:5" ht="4.25" customHeight="1" x14ac:dyDescent="0.35"/>
    <row r="129" spans="2:3" x14ac:dyDescent="0.35">
      <c r="B129" s="54" t="s">
        <v>16</v>
      </c>
    </row>
    <row r="130" spans="2:3" x14ac:dyDescent="0.35">
      <c r="B130" s="9" t="s">
        <v>27</v>
      </c>
      <c r="C130" s="36">
        <f>C116+C123</f>
        <v>17.976254741337971</v>
      </c>
    </row>
    <row r="131" spans="2:3" s="76" customFormat="1" x14ac:dyDescent="0.35">
      <c r="B131" s="9" t="s">
        <v>17</v>
      </c>
      <c r="C131" s="180">
        <f>(C18+C19/C56)*(C114+C115+C117+C118)+C124+C125</f>
        <v>174.69652706351638</v>
      </c>
    </row>
    <row r="132" spans="2:3" x14ac:dyDescent="0.35">
      <c r="B132" s="9" t="s">
        <v>18</v>
      </c>
      <c r="C132" s="36">
        <f>C110/C56</f>
        <v>180.80210563148395</v>
      </c>
    </row>
    <row r="133" spans="2:3" x14ac:dyDescent="0.35">
      <c r="B133" s="9" t="s">
        <v>19</v>
      </c>
      <c r="C133" s="39">
        <f>SUM(C130:C132)</f>
        <v>373.47488743633835</v>
      </c>
    </row>
    <row r="134" spans="2:3" x14ac:dyDescent="0.35">
      <c r="B134" s="42"/>
      <c r="C134" s="76"/>
    </row>
    <row r="135" spans="2:3" ht="7.75" customHeight="1" x14ac:dyDescent="0.35">
      <c r="B135" s="41"/>
      <c r="C135" s="24"/>
    </row>
    <row r="136" spans="2:3" x14ac:dyDescent="0.35">
      <c r="B136" s="6" t="s">
        <v>46</v>
      </c>
      <c r="C136" s="24"/>
    </row>
    <row r="137" spans="2:3" x14ac:dyDescent="0.35">
      <c r="B137" s="10" t="s">
        <v>47</v>
      </c>
      <c r="C137" s="43">
        <f>C133</f>
        <v>373.47488743633835</v>
      </c>
    </row>
    <row r="138" spans="2:3" x14ac:dyDescent="0.35">
      <c r="B138" s="10" t="s">
        <v>48</v>
      </c>
      <c r="C138" s="44">
        <f>C137/(C12*C47)</f>
        <v>0.10563034685444127</v>
      </c>
    </row>
    <row r="139" spans="2:3" x14ac:dyDescent="0.35">
      <c r="B139" s="10" t="s">
        <v>49</v>
      </c>
      <c r="C139" s="44">
        <f>C137/C12</f>
        <v>8.8922592246747225</v>
      </c>
    </row>
    <row r="140" spans="2:3" x14ac:dyDescent="0.35">
      <c r="B140" s="45" t="s">
        <v>50</v>
      </c>
      <c r="C140" s="43">
        <f>C137/C36</f>
        <v>81.056918761672108</v>
      </c>
    </row>
    <row r="141" spans="2:3" x14ac:dyDescent="0.35">
      <c r="B141" s="45" t="s">
        <v>119</v>
      </c>
      <c r="C141" s="46">
        <f>C137/C18</f>
        <v>2.2182372839432665</v>
      </c>
    </row>
    <row r="142" spans="2:3" x14ac:dyDescent="0.35">
      <c r="B142" s="45" t="s">
        <v>120</v>
      </c>
      <c r="C142" s="46">
        <f>C137/C14</f>
        <v>4.4364745678865329</v>
      </c>
    </row>
    <row r="143" spans="2:3" x14ac:dyDescent="0.35">
      <c r="B143" s="45" t="s">
        <v>51</v>
      </c>
      <c r="C143" s="47">
        <f>C137*C56</f>
        <v>288351.88280277239</v>
      </c>
    </row>
    <row r="145" spans="2:3" x14ac:dyDescent="0.35">
      <c r="B145" s="45"/>
      <c r="C145" s="65"/>
    </row>
  </sheetData>
  <pageMargins left="0.7" right="0.7" top="0.75" bottom="0.75" header="0.3" footer="0.3"/>
  <pageSetup paperSize="9" orientation="portrait"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H127"/>
  <sheetViews>
    <sheetView zoomScale="90" zoomScaleNormal="90" workbookViewId="0">
      <selection activeCell="H103" sqref="H103"/>
    </sheetView>
  </sheetViews>
  <sheetFormatPr defaultRowHeight="14.5" x14ac:dyDescent="0.35"/>
  <cols>
    <col min="1" max="1" width="2.36328125" customWidth="1"/>
    <col min="2" max="2" width="59.90625" bestFit="1" customWidth="1"/>
    <col min="3" max="3" width="11" bestFit="1" customWidth="1"/>
    <col min="4" max="6" width="12.54296875" bestFit="1" customWidth="1"/>
    <col min="7" max="7" width="11" bestFit="1" customWidth="1"/>
    <col min="8" max="8" width="8.90625" style="78" customWidth="1"/>
    <col min="9" max="9" width="9.1796875" style="78" customWidth="1"/>
    <col min="10" max="10" width="9" style="78" bestFit="1" customWidth="1"/>
    <col min="11" max="11" width="8.1796875" style="78" customWidth="1"/>
    <col min="12" max="13" width="9" style="78" bestFit="1" customWidth="1"/>
    <col min="14" max="14" width="8.453125" style="78" customWidth="1"/>
    <col min="15" max="15" width="9.453125" style="78" bestFit="1" customWidth="1"/>
    <col min="16" max="17" width="9" style="78" bestFit="1" customWidth="1"/>
    <col min="18" max="18" width="8.1796875" customWidth="1"/>
    <col min="21" max="21" width="29.36328125" customWidth="1"/>
    <col min="27" max="27" width="36.6328125" customWidth="1"/>
    <col min="28" max="28" width="9" bestFit="1" customWidth="1"/>
    <col min="29" max="29" width="9.1796875" bestFit="1" customWidth="1"/>
    <col min="30" max="31" width="9.90625" bestFit="1" customWidth="1"/>
    <col min="32" max="32" width="10.36328125" bestFit="1" customWidth="1"/>
    <col min="36" max="36" width="24.54296875" customWidth="1"/>
    <col min="37" max="38" width="9.453125" bestFit="1" customWidth="1"/>
    <col min="39" max="41" width="10.453125" bestFit="1" customWidth="1"/>
    <col min="42" max="42" width="44" customWidth="1"/>
    <col min="43" max="45" width="9" bestFit="1" customWidth="1"/>
    <col min="46" max="50" width="9.81640625" bestFit="1" customWidth="1"/>
    <col min="51" max="57" width="9" bestFit="1" customWidth="1"/>
    <col min="58" max="58" width="10.453125" customWidth="1"/>
  </cols>
  <sheetData>
    <row r="1" spans="2:36" s="184" customFormat="1" ht="28.5" x14ac:dyDescent="0.65">
      <c r="B1" s="358" t="s">
        <v>452</v>
      </c>
      <c r="H1" s="296"/>
      <c r="I1" s="296"/>
      <c r="J1" s="296"/>
      <c r="K1" s="296"/>
      <c r="L1" s="296"/>
      <c r="M1" s="296"/>
      <c r="N1" s="296"/>
      <c r="O1" s="296"/>
      <c r="P1" s="296"/>
      <c r="Q1" s="296"/>
    </row>
    <row r="2" spans="2:36" s="184" customFormat="1" ht="34.25" customHeight="1" x14ac:dyDescent="0.65">
      <c r="B2" s="358"/>
      <c r="H2" s="296"/>
      <c r="I2" s="296"/>
      <c r="J2" s="296"/>
      <c r="K2" s="296"/>
      <c r="L2" s="296"/>
      <c r="M2" s="296"/>
      <c r="N2" s="296"/>
      <c r="O2" s="296"/>
      <c r="P2" s="296"/>
      <c r="Q2" s="296"/>
    </row>
    <row r="3" spans="2:36" s="184" customFormat="1" x14ac:dyDescent="0.35">
      <c r="H3" s="296"/>
      <c r="I3" s="296"/>
      <c r="J3" s="296"/>
      <c r="K3" s="296"/>
      <c r="L3" s="296"/>
      <c r="M3" s="296"/>
      <c r="N3" s="296"/>
      <c r="O3" s="296"/>
      <c r="P3" s="296"/>
      <c r="Q3" s="296"/>
    </row>
    <row r="4" spans="2:36" ht="15.5" x14ac:dyDescent="0.35">
      <c r="B4" s="178" t="s">
        <v>203</v>
      </c>
      <c r="C4" s="48" t="s">
        <v>96</v>
      </c>
      <c r="D4" s="48"/>
      <c r="E4" s="48"/>
      <c r="F4" s="48"/>
      <c r="G4" s="58"/>
    </row>
    <row r="5" spans="2:36" s="51" customFormat="1" ht="15.65" customHeight="1" x14ac:dyDescent="0.45">
      <c r="B5" s="177" t="str">
        <f>'B1. Road; distance distribution'!C8</f>
        <v>test environment</v>
      </c>
      <c r="C5" s="50" t="s">
        <v>97</v>
      </c>
      <c r="D5" s="50"/>
      <c r="E5" s="50"/>
      <c r="F5" s="50"/>
      <c r="G5" s="57"/>
      <c r="H5" s="78"/>
      <c r="I5" s="78"/>
      <c r="J5" s="78"/>
      <c r="K5" s="78"/>
      <c r="L5" s="78"/>
      <c r="M5" s="78"/>
      <c r="N5" s="78"/>
      <c r="O5" s="78"/>
      <c r="P5" s="78"/>
      <c r="Q5" s="78"/>
      <c r="S5" s="78"/>
      <c r="T5" s="78"/>
      <c r="U5" s="78"/>
      <c r="V5" s="78"/>
      <c r="W5" s="78"/>
      <c r="X5" s="78"/>
      <c r="Y5" s="78"/>
      <c r="Z5" s="78"/>
      <c r="AA5" s="78"/>
      <c r="AB5" s="78"/>
      <c r="AC5" s="78"/>
      <c r="AD5" s="78"/>
      <c r="AE5" s="78"/>
      <c r="AF5" s="78"/>
      <c r="AG5" s="78"/>
      <c r="AH5" s="78"/>
      <c r="AI5" s="78"/>
      <c r="AJ5" s="78"/>
    </row>
    <row r="6" spans="2:36" s="76" customFormat="1" ht="15.65" customHeight="1" x14ac:dyDescent="0.35">
      <c r="C6" s="155" t="s">
        <v>195</v>
      </c>
      <c r="D6" s="155"/>
      <c r="E6" s="155"/>
      <c r="F6" s="155"/>
      <c r="G6" s="155"/>
      <c r="H6" s="78"/>
      <c r="I6" s="78"/>
      <c r="J6" s="78"/>
      <c r="K6" s="78"/>
      <c r="L6" s="78"/>
      <c r="M6" s="78"/>
      <c r="N6" s="78"/>
      <c r="O6" s="78"/>
      <c r="P6" s="78"/>
      <c r="Q6" s="78"/>
      <c r="S6" s="78"/>
      <c r="T6" s="78"/>
      <c r="U6" s="78"/>
      <c r="V6" s="78"/>
      <c r="W6" s="78"/>
      <c r="X6" s="78"/>
      <c r="Y6" s="78"/>
      <c r="Z6" s="78"/>
      <c r="AA6" s="78"/>
      <c r="AB6" s="78"/>
      <c r="AC6" s="78"/>
      <c r="AD6" s="78"/>
      <c r="AE6" s="78"/>
      <c r="AF6" s="78"/>
      <c r="AG6" s="78"/>
      <c r="AH6" s="78"/>
      <c r="AI6" s="78"/>
      <c r="AJ6" s="78"/>
    </row>
    <row r="7" spans="2:36" ht="21" x14ac:dyDescent="0.5">
      <c r="C7" s="52" t="s">
        <v>100</v>
      </c>
      <c r="S7" s="78"/>
      <c r="T7" s="78"/>
      <c r="U7" s="80"/>
      <c r="V7" s="80"/>
      <c r="W7" s="80"/>
      <c r="X7" s="80"/>
      <c r="Y7" s="80"/>
      <c r="Z7" s="80"/>
      <c r="AA7" s="80"/>
      <c r="AB7" s="80"/>
      <c r="AC7" s="80"/>
      <c r="AD7" s="80"/>
      <c r="AE7" s="80"/>
      <c r="AF7" s="80"/>
      <c r="AG7" s="80"/>
      <c r="AH7" s="80"/>
      <c r="AI7" s="80"/>
      <c r="AJ7" s="80"/>
    </row>
    <row r="8" spans="2:36" x14ac:dyDescent="0.35">
      <c r="B8" s="70" t="s">
        <v>99</v>
      </c>
      <c r="C8" s="71" t="s">
        <v>151</v>
      </c>
      <c r="D8" s="72" t="s">
        <v>152</v>
      </c>
      <c r="E8" s="72" t="s">
        <v>153</v>
      </c>
      <c r="F8" s="72" t="s">
        <v>154</v>
      </c>
      <c r="G8" s="72" t="s">
        <v>155</v>
      </c>
      <c r="H8" s="87"/>
      <c r="I8" s="87"/>
      <c r="J8" s="87"/>
      <c r="K8" s="87"/>
      <c r="L8" s="87"/>
      <c r="M8" s="87"/>
      <c r="N8" s="87"/>
      <c r="O8" s="87"/>
      <c r="P8" s="87"/>
      <c r="Q8" s="87"/>
      <c r="S8" s="78"/>
      <c r="T8" s="78"/>
      <c r="U8" s="78"/>
      <c r="V8" s="27"/>
      <c r="W8" s="27"/>
      <c r="X8" s="27"/>
      <c r="Y8" s="27"/>
      <c r="Z8" s="33"/>
      <c r="AA8" s="33"/>
      <c r="AB8" s="33"/>
      <c r="AC8" s="33"/>
      <c r="AD8" s="33"/>
      <c r="AE8" s="33"/>
      <c r="AF8" s="33"/>
      <c r="AG8" s="33"/>
      <c r="AH8" s="33"/>
      <c r="AI8" s="33"/>
      <c r="AJ8" s="33"/>
    </row>
    <row r="9" spans="2:36" x14ac:dyDescent="0.35">
      <c r="B9" s="54" t="s">
        <v>106</v>
      </c>
      <c r="C9" s="157">
        <v>50</v>
      </c>
      <c r="D9" s="157">
        <v>100</v>
      </c>
      <c r="E9" s="157">
        <v>150</v>
      </c>
      <c r="F9" s="157">
        <v>200</v>
      </c>
      <c r="G9" s="157">
        <v>250</v>
      </c>
      <c r="H9" s="88"/>
      <c r="I9" s="88"/>
      <c r="J9" s="88"/>
      <c r="K9" s="88"/>
      <c r="L9" s="88"/>
      <c r="M9" s="88"/>
      <c r="N9" s="88"/>
      <c r="O9" s="88"/>
      <c r="P9" s="88"/>
      <c r="Q9" s="88"/>
      <c r="S9" s="78"/>
      <c r="T9" s="78"/>
      <c r="U9" s="79"/>
      <c r="V9" s="33"/>
      <c r="W9" s="33"/>
      <c r="X9" s="33"/>
      <c r="Y9" s="33"/>
      <c r="Z9" s="33"/>
      <c r="AA9" s="33"/>
      <c r="AB9" s="33"/>
      <c r="AC9" s="33"/>
      <c r="AD9" s="33"/>
      <c r="AE9" s="33"/>
      <c r="AF9" s="33"/>
      <c r="AG9" s="33"/>
      <c r="AH9" s="33"/>
      <c r="AI9" s="33"/>
      <c r="AJ9" s="33"/>
    </row>
    <row r="10" spans="2:36" x14ac:dyDescent="0.35">
      <c r="B10" t="s">
        <v>101</v>
      </c>
      <c r="C10" s="81">
        <v>6.5</v>
      </c>
      <c r="D10" s="34">
        <f>$C$10</f>
        <v>6.5</v>
      </c>
      <c r="E10" s="34">
        <f t="shared" ref="E10:G10" si="0">$C$10</f>
        <v>6.5</v>
      </c>
      <c r="F10" s="34">
        <f t="shared" si="0"/>
        <v>6.5</v>
      </c>
      <c r="G10" s="34">
        <f t="shared" si="0"/>
        <v>6.5</v>
      </c>
      <c r="H10" s="89"/>
      <c r="I10" s="89"/>
      <c r="J10" s="89"/>
      <c r="K10" s="89"/>
      <c r="L10" s="89"/>
      <c r="M10" s="89"/>
      <c r="N10" s="89"/>
      <c r="O10" s="89"/>
      <c r="P10" s="89"/>
      <c r="Q10" s="89"/>
      <c r="S10" s="78"/>
      <c r="T10" s="78"/>
      <c r="U10" s="79"/>
      <c r="V10" s="33"/>
      <c r="W10" s="33"/>
      <c r="X10" s="33"/>
      <c r="Y10" s="33"/>
      <c r="Z10" s="33"/>
      <c r="AA10" s="33"/>
      <c r="AB10" s="33"/>
      <c r="AC10" s="33"/>
      <c r="AD10" s="33"/>
      <c r="AE10" s="33"/>
      <c r="AF10" s="33"/>
      <c r="AG10" s="33"/>
      <c r="AH10" s="33"/>
      <c r="AI10" s="33"/>
      <c r="AJ10" s="33"/>
    </row>
    <row r="11" spans="2:36" x14ac:dyDescent="0.35">
      <c r="B11" t="s">
        <v>102</v>
      </c>
      <c r="C11" s="34">
        <f>C9-C10</f>
        <v>43.5</v>
      </c>
      <c r="D11" s="128">
        <f t="shared" ref="D11:G11" si="1">D9-D10</f>
        <v>93.5</v>
      </c>
      <c r="E11" s="128">
        <f t="shared" si="1"/>
        <v>143.5</v>
      </c>
      <c r="F11" s="128">
        <f t="shared" si="1"/>
        <v>193.5</v>
      </c>
      <c r="G11" s="128">
        <f t="shared" si="1"/>
        <v>243.5</v>
      </c>
      <c r="S11" s="78"/>
      <c r="T11" s="78"/>
      <c r="U11" s="78"/>
      <c r="V11" s="78"/>
      <c r="W11" s="78"/>
      <c r="X11" s="78"/>
      <c r="Y11" s="78"/>
      <c r="Z11" s="78"/>
      <c r="AA11" s="78"/>
      <c r="AB11" s="80"/>
      <c r="AC11" s="80"/>
      <c r="AD11" s="80"/>
      <c r="AE11" s="80"/>
      <c r="AF11" s="80"/>
      <c r="AG11" s="78"/>
      <c r="AH11" s="78"/>
      <c r="AI11" s="78"/>
      <c r="AJ11" s="78"/>
    </row>
    <row r="12" spans="2:36" x14ac:dyDescent="0.35">
      <c r="B12" t="s">
        <v>159</v>
      </c>
      <c r="C12" s="31">
        <v>100</v>
      </c>
      <c r="D12" s="31">
        <v>100</v>
      </c>
      <c r="E12" s="31">
        <v>100</v>
      </c>
      <c r="F12" s="31">
        <v>100</v>
      </c>
      <c r="G12" s="31">
        <v>100</v>
      </c>
      <c r="S12" s="78"/>
      <c r="T12" s="78"/>
      <c r="U12" s="78"/>
      <c r="V12" s="78"/>
      <c r="W12" s="78"/>
      <c r="X12" s="78"/>
      <c r="Y12" s="78"/>
      <c r="Z12" s="78"/>
      <c r="AA12" s="80"/>
      <c r="AB12" s="78"/>
      <c r="AC12" s="78"/>
      <c r="AD12" s="78"/>
      <c r="AE12" s="78"/>
      <c r="AF12" s="78"/>
      <c r="AG12" s="78"/>
      <c r="AH12" s="78"/>
      <c r="AI12" s="78"/>
      <c r="AJ12" s="78"/>
    </row>
    <row r="13" spans="2:36" x14ac:dyDescent="0.35">
      <c r="B13" t="s">
        <v>103</v>
      </c>
      <c r="C13" s="128">
        <f>C12/100*C9</f>
        <v>50</v>
      </c>
      <c r="D13" s="128">
        <f t="shared" ref="D13:F13" si="2">D12/100*D9</f>
        <v>100</v>
      </c>
      <c r="E13" s="128">
        <f>E12/100*E9</f>
        <v>150</v>
      </c>
      <c r="F13" s="128">
        <f t="shared" si="2"/>
        <v>200</v>
      </c>
      <c r="G13" s="128">
        <f>G12/100*G9</f>
        <v>250</v>
      </c>
      <c r="S13" s="78"/>
      <c r="T13" s="78"/>
      <c r="U13" s="78"/>
      <c r="V13" s="78"/>
      <c r="W13" s="78"/>
      <c r="X13" s="78"/>
      <c r="Y13" s="78"/>
      <c r="Z13" s="78"/>
      <c r="AA13" s="80"/>
      <c r="AB13" s="78"/>
      <c r="AC13" s="78"/>
      <c r="AD13" s="78"/>
      <c r="AE13" s="78"/>
      <c r="AF13" s="78"/>
      <c r="AG13" s="78"/>
      <c r="AH13" s="78"/>
      <c r="AI13" s="78"/>
      <c r="AJ13" s="78"/>
    </row>
    <row r="14" spans="2:36" x14ac:dyDescent="0.35">
      <c r="B14" t="s">
        <v>104</v>
      </c>
      <c r="C14" s="128">
        <f>C9+C13</f>
        <v>100</v>
      </c>
      <c r="D14" s="128">
        <f t="shared" ref="D14:G14" si="3">D9+D13</f>
        <v>200</v>
      </c>
      <c r="E14" s="128">
        <f t="shared" si="3"/>
        <v>300</v>
      </c>
      <c r="F14" s="128">
        <f t="shared" si="3"/>
        <v>400</v>
      </c>
      <c r="G14" s="128">
        <f t="shared" si="3"/>
        <v>500</v>
      </c>
      <c r="S14" s="78"/>
      <c r="T14" s="78"/>
      <c r="U14" s="78"/>
      <c r="V14" s="78"/>
      <c r="W14" s="78"/>
      <c r="X14" s="78"/>
      <c r="Y14" s="78"/>
      <c r="Z14" s="78"/>
      <c r="AA14" s="80"/>
      <c r="AB14" s="78"/>
      <c r="AC14" s="78"/>
      <c r="AD14" s="78"/>
      <c r="AE14" s="78"/>
      <c r="AF14" s="78"/>
      <c r="AG14" s="80"/>
      <c r="AH14" s="78"/>
      <c r="AI14" s="78"/>
      <c r="AJ14" s="78"/>
    </row>
    <row r="15" spans="2:36" x14ac:dyDescent="0.35">
      <c r="B15" s="143"/>
      <c r="C15" s="144"/>
      <c r="D15" s="144"/>
      <c r="E15" s="144"/>
      <c r="F15" s="144"/>
      <c r="G15" s="144"/>
      <c r="H15" s="103" t="s">
        <v>131</v>
      </c>
      <c r="S15" s="78"/>
      <c r="T15" s="78"/>
      <c r="U15" s="78"/>
      <c r="V15" s="78"/>
      <c r="W15" s="78"/>
      <c r="X15" s="78"/>
      <c r="Y15" s="78"/>
      <c r="Z15" s="78"/>
      <c r="AA15" s="80"/>
      <c r="AB15" s="78"/>
      <c r="AC15" s="78"/>
      <c r="AD15" s="78"/>
      <c r="AE15" s="78"/>
      <c r="AF15" s="78"/>
      <c r="AG15" s="78"/>
      <c r="AH15" s="78"/>
      <c r="AI15" s="78"/>
      <c r="AJ15" s="78"/>
    </row>
    <row r="16" spans="2:36" x14ac:dyDescent="0.35">
      <c r="B16" s="17" t="s">
        <v>107</v>
      </c>
      <c r="C16" s="31">
        <v>38</v>
      </c>
      <c r="D16" s="31">
        <v>41</v>
      </c>
      <c r="E16" s="31">
        <v>16</v>
      </c>
      <c r="F16" s="31">
        <v>4</v>
      </c>
      <c r="G16" s="31">
        <v>1</v>
      </c>
      <c r="H16" s="103">
        <f>SUM(C16:G16)</f>
        <v>100</v>
      </c>
      <c r="S16" s="78"/>
      <c r="T16" s="78"/>
      <c r="U16" s="78"/>
      <c r="V16" s="78"/>
      <c r="W16" s="78"/>
      <c r="X16" s="78"/>
      <c r="Y16" s="78"/>
      <c r="Z16" s="78"/>
      <c r="AA16" s="80"/>
      <c r="AB16" s="78"/>
      <c r="AC16" s="78"/>
      <c r="AD16" s="78"/>
      <c r="AE16" s="78"/>
      <c r="AF16" s="78"/>
      <c r="AG16" s="78"/>
      <c r="AH16" s="78"/>
      <c r="AI16" s="78"/>
      <c r="AJ16" s="78"/>
    </row>
    <row r="17" spans="2:55" s="51" customFormat="1" x14ac:dyDescent="0.35">
      <c r="B17" s="17" t="s">
        <v>108</v>
      </c>
      <c r="C17" s="116">
        <f>C16/100*'B1. Road; distance distribution'!$C$44</f>
        <v>1351.8120000000001</v>
      </c>
      <c r="D17" s="116">
        <f>D16/100*'B1. Road; distance distribution'!$C$44</f>
        <v>1458.5339999999999</v>
      </c>
      <c r="E17" s="116">
        <f>E16/100*'B1. Road; distance distribution'!$C$44</f>
        <v>569.18400000000008</v>
      </c>
      <c r="F17" s="116">
        <f>F16/100*'B1. Road; distance distribution'!$C$44</f>
        <v>142.29600000000002</v>
      </c>
      <c r="G17" s="116">
        <f>G16/100*'B1. Road; distance distribution'!$C$44</f>
        <v>35.574000000000005</v>
      </c>
      <c r="H17" s="103">
        <f>SUM(C17:G17)</f>
        <v>3557.4</v>
      </c>
      <c r="J17" s="78"/>
      <c r="K17" s="78"/>
      <c r="L17" s="78"/>
      <c r="M17" s="78"/>
      <c r="N17" s="78"/>
      <c r="O17" s="80"/>
      <c r="P17" s="80"/>
      <c r="Q17" s="80"/>
      <c r="S17" s="78"/>
      <c r="T17" s="78"/>
      <c r="U17" s="78"/>
      <c r="V17" s="78"/>
      <c r="W17" s="78"/>
      <c r="X17" s="78"/>
      <c r="Y17" s="78"/>
      <c r="Z17" s="78"/>
      <c r="AA17" s="78"/>
      <c r="AB17" s="78"/>
      <c r="AC17" s="78"/>
    </row>
    <row r="18" spans="2:55" x14ac:dyDescent="0.35">
      <c r="B18" s="53" t="s">
        <v>105</v>
      </c>
      <c r="C18" s="181">
        <f>C17/C38</f>
        <v>377.10780043229084</v>
      </c>
      <c r="D18" s="181">
        <f>D17/D38</f>
        <v>287.16175118279244</v>
      </c>
      <c r="E18" s="181">
        <f>E17/E38</f>
        <v>86.477710638237625</v>
      </c>
      <c r="F18" s="181">
        <f>F17/F38</f>
        <v>17.605471605187724</v>
      </c>
      <c r="G18" s="181">
        <f>G17/G38</f>
        <v>3.7256374133058419</v>
      </c>
      <c r="H18" s="140">
        <f>SUM(C18:G18)</f>
        <v>772.0783712718146</v>
      </c>
      <c r="O18" s="90"/>
      <c r="P18" s="90"/>
      <c r="Q18" s="90"/>
      <c r="S18" s="78"/>
      <c r="T18" s="78"/>
      <c r="U18" s="78"/>
      <c r="V18" s="78"/>
      <c r="W18" s="78"/>
      <c r="X18" s="78"/>
      <c r="Y18" s="78"/>
      <c r="Z18" s="78"/>
      <c r="AA18" s="78"/>
      <c r="AB18" s="78"/>
      <c r="AC18" s="78"/>
      <c r="AP18" s="78"/>
      <c r="AQ18" s="78"/>
      <c r="AR18" s="78"/>
      <c r="AS18" s="78"/>
      <c r="AT18" s="78"/>
      <c r="AU18" s="78"/>
      <c r="AV18" s="78"/>
      <c r="AW18" s="78"/>
      <c r="AX18" s="78"/>
      <c r="AY18" s="78"/>
      <c r="AZ18" s="78"/>
      <c r="BA18" s="78"/>
      <c r="BB18" s="78"/>
    </row>
    <row r="19" spans="2:55" s="76" customFormat="1" x14ac:dyDescent="0.35">
      <c r="B19" s="77" t="s">
        <v>173</v>
      </c>
      <c r="C19" s="116">
        <f>C56</f>
        <v>15838.527618156215</v>
      </c>
      <c r="D19" s="116">
        <f t="shared" ref="D19:G19" si="4">D56</f>
        <v>12060.793549677282</v>
      </c>
      <c r="E19" s="116">
        <f t="shared" si="4"/>
        <v>3632.0638468059801</v>
      </c>
      <c r="F19" s="116">
        <f t="shared" si="4"/>
        <v>739.42980741788438</v>
      </c>
      <c r="G19" s="116">
        <f t="shared" si="4"/>
        <v>156.47677135884535</v>
      </c>
      <c r="H19" s="140">
        <f>SUM(C19:G19)</f>
        <v>32427.291593416208</v>
      </c>
      <c r="J19" s="78"/>
      <c r="K19" s="78"/>
      <c r="L19" s="78"/>
      <c r="M19" s="78"/>
      <c r="N19" s="78"/>
      <c r="O19" s="90"/>
      <c r="P19" s="90"/>
      <c r="Q19" s="90"/>
      <c r="S19" s="78"/>
      <c r="T19" s="78"/>
      <c r="U19" s="78"/>
      <c r="V19" s="78"/>
      <c r="W19" s="78"/>
      <c r="X19" s="78"/>
      <c r="Y19" s="78"/>
      <c r="Z19" s="78"/>
      <c r="AA19" s="78"/>
      <c r="AB19" s="78"/>
      <c r="AC19" s="78"/>
      <c r="AP19" s="78"/>
      <c r="AQ19" s="78"/>
      <c r="AR19" s="78"/>
      <c r="AS19" s="78"/>
      <c r="AT19" s="78"/>
      <c r="AU19" s="78"/>
      <c r="AV19" s="78"/>
      <c r="AW19" s="78"/>
      <c r="AX19" s="78"/>
      <c r="AY19" s="78"/>
      <c r="AZ19" s="78"/>
      <c r="BA19" s="78"/>
      <c r="BB19" s="78"/>
    </row>
    <row r="20" spans="2:55" x14ac:dyDescent="0.35">
      <c r="AP20" s="78"/>
      <c r="AQ20" s="78"/>
      <c r="AR20" s="78"/>
      <c r="AS20" s="78"/>
      <c r="AT20" s="78"/>
      <c r="AU20" s="78"/>
      <c r="AV20" s="78"/>
      <c r="AW20" s="78"/>
      <c r="AX20" s="78"/>
      <c r="AY20" s="78"/>
      <c r="AZ20" s="78"/>
      <c r="BA20" s="78"/>
      <c r="BB20" s="78"/>
    </row>
    <row r="21" spans="2:55" x14ac:dyDescent="0.35">
      <c r="B21" s="17" t="s">
        <v>169</v>
      </c>
      <c r="C21" s="59"/>
      <c r="D21" s="59"/>
      <c r="E21" s="59"/>
      <c r="F21" s="59"/>
      <c r="G21" s="59"/>
      <c r="H21" s="91"/>
      <c r="I21" s="91"/>
      <c r="J21" s="91"/>
      <c r="K21" s="91"/>
      <c r="L21" s="91"/>
      <c r="M21" s="91"/>
      <c r="N21" s="91"/>
      <c r="O21" s="91"/>
      <c r="P21" s="91"/>
      <c r="Q21" s="91"/>
      <c r="AP21" s="80"/>
      <c r="AQ21" s="80"/>
      <c r="AR21" s="80"/>
      <c r="AS21" s="80"/>
      <c r="AT21" s="80"/>
      <c r="AU21" s="80"/>
      <c r="AV21" s="78"/>
      <c r="AW21" s="78"/>
      <c r="AX21" s="80"/>
      <c r="AY21" s="78"/>
      <c r="AZ21" s="78"/>
      <c r="BA21" s="78"/>
      <c r="BB21" s="78"/>
      <c r="BC21" s="76"/>
    </row>
    <row r="22" spans="2:55" x14ac:dyDescent="0.35">
      <c r="B22" s="55" t="s">
        <v>178</v>
      </c>
      <c r="C22" s="81">
        <v>14</v>
      </c>
      <c r="D22" s="34">
        <f>$C$22</f>
        <v>14</v>
      </c>
      <c r="E22" s="34">
        <f t="shared" ref="E22:G22" si="5">$C$22</f>
        <v>14</v>
      </c>
      <c r="F22" s="34">
        <f t="shared" si="5"/>
        <v>14</v>
      </c>
      <c r="G22" s="34">
        <f t="shared" si="5"/>
        <v>14</v>
      </c>
      <c r="H22" s="24"/>
      <c r="I22" s="24"/>
      <c r="J22" s="24"/>
      <c r="K22" s="24"/>
      <c r="L22" s="24"/>
      <c r="M22" s="24"/>
      <c r="N22" s="24"/>
      <c r="O22" s="24"/>
      <c r="P22" s="24"/>
      <c r="Q22" s="24"/>
      <c r="T22" s="51"/>
      <c r="U22" s="51"/>
      <c r="V22" s="51"/>
      <c r="W22" s="51"/>
      <c r="X22" s="51"/>
      <c r="Y22" s="51"/>
      <c r="Z22" s="51"/>
      <c r="AA22" s="51"/>
      <c r="AB22" s="51"/>
      <c r="AC22" s="51"/>
      <c r="AD22" s="51"/>
      <c r="AP22" s="78"/>
      <c r="AQ22" s="78"/>
      <c r="AR22" s="78"/>
      <c r="AS22" s="78"/>
      <c r="AT22" s="78"/>
      <c r="AU22" s="78"/>
      <c r="AV22" s="78"/>
      <c r="AW22" s="78"/>
      <c r="AX22" s="80"/>
      <c r="AY22" s="78"/>
      <c r="AZ22" s="78"/>
      <c r="BA22" s="78"/>
      <c r="BB22" s="78"/>
      <c r="BC22" s="76"/>
    </row>
    <row r="23" spans="2:55" x14ac:dyDescent="0.35">
      <c r="B23" s="55" t="s">
        <v>179</v>
      </c>
      <c r="C23" s="81">
        <v>5.5</v>
      </c>
      <c r="D23" s="34">
        <f>$C$23</f>
        <v>5.5</v>
      </c>
      <c r="E23" s="34">
        <f t="shared" ref="E23:G23" si="6">$C$23</f>
        <v>5.5</v>
      </c>
      <c r="F23" s="34">
        <f t="shared" si="6"/>
        <v>5.5</v>
      </c>
      <c r="G23" s="34">
        <f t="shared" si="6"/>
        <v>5.5</v>
      </c>
      <c r="H23" s="24"/>
      <c r="I23" s="152"/>
      <c r="J23" s="24"/>
      <c r="K23" s="24"/>
      <c r="L23" s="24"/>
      <c r="M23" s="24"/>
      <c r="N23" s="24"/>
      <c r="O23" s="24"/>
      <c r="P23" s="24"/>
      <c r="Q23" s="24"/>
      <c r="S23" s="51"/>
      <c r="T23" s="51"/>
      <c r="U23" s="51"/>
      <c r="V23" s="51"/>
      <c r="W23" s="51"/>
      <c r="X23" s="51"/>
      <c r="Y23" s="51"/>
      <c r="Z23" s="51"/>
      <c r="AA23" s="51"/>
      <c r="AB23" s="51"/>
      <c r="AC23" s="51"/>
      <c r="AD23" s="51"/>
      <c r="AP23" s="78"/>
      <c r="AQ23" s="78"/>
      <c r="AR23" s="78"/>
      <c r="AS23" s="78"/>
      <c r="AT23" s="78"/>
      <c r="AU23" s="78"/>
      <c r="AV23" s="78"/>
      <c r="AW23" s="78"/>
      <c r="AX23" s="80"/>
      <c r="AY23" s="78"/>
      <c r="AZ23" s="78"/>
      <c r="BA23" s="78"/>
      <c r="BB23" s="78"/>
      <c r="BC23" s="76"/>
    </row>
    <row r="24" spans="2:55" s="76" customFormat="1" x14ac:dyDescent="0.35">
      <c r="B24" s="55" t="s">
        <v>180</v>
      </c>
      <c r="C24" s="34">
        <f>C14-(C22+C23)</f>
        <v>80.5</v>
      </c>
      <c r="D24" s="34">
        <f t="shared" ref="D24:G24" si="7">D14-(D22+D23)</f>
        <v>180.5</v>
      </c>
      <c r="E24" s="34">
        <f t="shared" si="7"/>
        <v>280.5</v>
      </c>
      <c r="F24" s="34">
        <f t="shared" si="7"/>
        <v>380.5</v>
      </c>
      <c r="G24" s="34">
        <f t="shared" si="7"/>
        <v>480.5</v>
      </c>
      <c r="H24" s="24"/>
      <c r="I24" s="24"/>
      <c r="J24" s="24"/>
      <c r="K24" s="24"/>
      <c r="L24" s="24"/>
      <c r="M24" s="24"/>
      <c r="N24" s="24"/>
      <c r="O24" s="24"/>
      <c r="P24" s="24"/>
      <c r="Q24" s="24"/>
      <c r="AP24" s="78"/>
      <c r="AQ24" s="78"/>
      <c r="AR24" s="78"/>
      <c r="AS24" s="78"/>
      <c r="AT24" s="78"/>
      <c r="AU24" s="78"/>
      <c r="AV24" s="78"/>
      <c r="AW24" s="78"/>
      <c r="AX24" s="80"/>
      <c r="AY24" s="78"/>
      <c r="AZ24" s="78"/>
      <c r="BA24" s="78"/>
      <c r="BB24" s="78"/>
    </row>
    <row r="25" spans="2:55" x14ac:dyDescent="0.35">
      <c r="H25" s="24"/>
      <c r="I25" s="24"/>
      <c r="J25" s="24"/>
      <c r="K25" s="24"/>
      <c r="L25" s="24"/>
      <c r="M25" s="24"/>
      <c r="N25" s="24"/>
      <c r="O25" s="24"/>
      <c r="P25" s="24"/>
      <c r="Q25" s="24"/>
      <c r="S25" s="51"/>
      <c r="T25" s="51"/>
      <c r="U25" s="51"/>
      <c r="V25" s="51"/>
      <c r="W25" s="51"/>
      <c r="X25" s="51"/>
      <c r="Y25" s="51"/>
      <c r="Z25" s="51"/>
      <c r="AA25" s="51"/>
      <c r="AB25" s="51"/>
      <c r="AC25" s="51"/>
      <c r="AD25" s="51"/>
      <c r="AP25" s="78"/>
      <c r="AQ25" s="78"/>
      <c r="AR25" s="78"/>
      <c r="AS25" s="78"/>
      <c r="AT25" s="78"/>
      <c r="AU25" s="78"/>
      <c r="AV25" s="78"/>
      <c r="AW25" s="78"/>
      <c r="AX25" s="80"/>
      <c r="AY25" s="78"/>
      <c r="AZ25" s="78"/>
      <c r="BA25" s="78"/>
      <c r="BB25" s="78"/>
      <c r="BC25" s="76"/>
    </row>
    <row r="26" spans="2:55" x14ac:dyDescent="0.35">
      <c r="B26" s="17" t="s">
        <v>175</v>
      </c>
      <c r="AP26" s="80"/>
      <c r="AQ26" s="78"/>
      <c r="AR26" s="78"/>
      <c r="AS26" s="78"/>
      <c r="AT26" s="78"/>
      <c r="AU26" s="78"/>
      <c r="AV26" s="78"/>
      <c r="AW26" s="78"/>
      <c r="AX26" s="80"/>
      <c r="AY26" s="78"/>
      <c r="AZ26" s="78"/>
      <c r="BA26" s="78"/>
      <c r="BB26" s="78"/>
    </row>
    <row r="27" spans="2:55" x14ac:dyDescent="0.35">
      <c r="B27" s="78" t="s">
        <v>176</v>
      </c>
      <c r="C27" s="81">
        <v>17.8</v>
      </c>
      <c r="D27" s="34">
        <f>$C$27</f>
        <v>17.8</v>
      </c>
      <c r="E27" s="34">
        <f t="shared" ref="E27:G27" si="8">$C$27</f>
        <v>17.8</v>
      </c>
      <c r="F27" s="34">
        <f t="shared" si="8"/>
        <v>17.8</v>
      </c>
      <c r="G27" s="34">
        <f t="shared" si="8"/>
        <v>17.8</v>
      </c>
      <c r="H27" s="33"/>
      <c r="I27" s="33"/>
      <c r="J27" s="33"/>
      <c r="K27" s="33"/>
      <c r="L27" s="33"/>
      <c r="M27" s="33"/>
      <c r="N27" s="33"/>
      <c r="O27" s="33"/>
      <c r="P27" s="33"/>
      <c r="Q27" s="33"/>
      <c r="AP27" s="78"/>
      <c r="AQ27" s="98"/>
      <c r="AR27" s="98"/>
      <c r="AS27" s="98"/>
      <c r="AT27" s="98"/>
      <c r="AU27" s="98"/>
      <c r="AV27" s="98"/>
      <c r="AW27" s="98"/>
      <c r="AX27" s="100"/>
      <c r="AY27" s="100"/>
      <c r="AZ27" s="78"/>
      <c r="BA27" s="78"/>
      <c r="BB27" s="98"/>
      <c r="BC27" s="83"/>
    </row>
    <row r="28" spans="2:55" x14ac:dyDescent="0.35">
      <c r="B28" s="78" t="s">
        <v>64</v>
      </c>
      <c r="C28" s="81">
        <v>36</v>
      </c>
      <c r="D28" s="34">
        <f>$C$28</f>
        <v>36</v>
      </c>
      <c r="E28" s="34">
        <f t="shared" ref="E28:G28" si="9">$C$28</f>
        <v>36</v>
      </c>
      <c r="F28" s="34">
        <f t="shared" si="9"/>
        <v>36</v>
      </c>
      <c r="G28" s="34">
        <f t="shared" si="9"/>
        <v>36</v>
      </c>
      <c r="H28" s="24"/>
      <c r="I28" s="24"/>
      <c r="J28" s="24"/>
      <c r="K28" s="24"/>
      <c r="L28" s="24"/>
      <c r="M28" s="24"/>
      <c r="N28" s="24"/>
      <c r="O28" s="24"/>
      <c r="P28" s="24"/>
      <c r="Q28" s="24"/>
      <c r="AP28" s="78"/>
      <c r="AQ28" s="98"/>
      <c r="AR28" s="98"/>
      <c r="AS28" s="98"/>
      <c r="AT28" s="98"/>
      <c r="AU28" s="98"/>
      <c r="AV28" s="98"/>
      <c r="AW28" s="98"/>
      <c r="AX28" s="100"/>
      <c r="AY28" s="100"/>
      <c r="AZ28" s="78"/>
      <c r="BA28" s="78"/>
      <c r="BB28" s="98"/>
      <c r="BC28" s="83"/>
    </row>
    <row r="29" spans="2:55" x14ac:dyDescent="0.35">
      <c r="B29" s="55" t="s">
        <v>177</v>
      </c>
      <c r="C29" s="85">
        <v>64</v>
      </c>
      <c r="D29" s="85">
        <v>71</v>
      </c>
      <c r="E29" s="85">
        <v>73</v>
      </c>
      <c r="F29" s="85">
        <v>74</v>
      </c>
      <c r="G29" s="73">
        <v>75</v>
      </c>
      <c r="H29" s="24"/>
      <c r="I29" s="24"/>
      <c r="J29" s="24"/>
      <c r="K29" s="24"/>
      <c r="L29" s="24"/>
      <c r="M29" s="24"/>
      <c r="N29" s="24"/>
      <c r="O29" s="24"/>
      <c r="P29" s="24"/>
      <c r="Q29" s="24"/>
      <c r="AP29" s="78"/>
      <c r="AQ29" s="98"/>
      <c r="AR29" s="98"/>
      <c r="AS29" s="98"/>
      <c r="AT29" s="98"/>
      <c r="AU29" s="98"/>
      <c r="AV29" s="98"/>
      <c r="AW29" s="98"/>
      <c r="AX29" s="100"/>
      <c r="AY29" s="100"/>
      <c r="AZ29" s="78"/>
      <c r="BA29" s="78"/>
      <c r="BB29" s="98"/>
      <c r="BC29" s="83"/>
    </row>
    <row r="30" spans="2:55" x14ac:dyDescent="0.35">
      <c r="H30" s="92"/>
      <c r="I30" s="92"/>
      <c r="J30" s="24"/>
      <c r="K30" s="24"/>
      <c r="L30" s="24"/>
      <c r="M30" s="24"/>
      <c r="N30" s="92"/>
      <c r="O30" s="92"/>
      <c r="P30" s="92"/>
      <c r="Q30" s="92"/>
      <c r="AP30" s="78"/>
      <c r="AQ30" s="78"/>
      <c r="AR30" s="78"/>
      <c r="AS30" s="78"/>
      <c r="AT30" s="78"/>
      <c r="AU30" s="78"/>
      <c r="AV30" s="78"/>
      <c r="AW30" s="80"/>
      <c r="AX30" s="80"/>
      <c r="AY30" s="78"/>
      <c r="AZ30" s="78"/>
      <c r="BA30" s="78"/>
      <c r="BB30" s="78"/>
    </row>
    <row r="31" spans="2:55" x14ac:dyDescent="0.35">
      <c r="B31" s="17" t="s">
        <v>65</v>
      </c>
      <c r="C31" s="115">
        <f>C13/C36</f>
        <v>51.132844254487239</v>
      </c>
      <c r="D31" s="115">
        <f>D13/D36</f>
        <v>61.725896038139787</v>
      </c>
      <c r="E31" s="115">
        <f>E13/E36</f>
        <v>66.0742972832996</v>
      </c>
      <c r="F31" s="115">
        <f>F13/F36</f>
        <v>68.495853634227132</v>
      </c>
      <c r="G31" s="115">
        <f>G13/G36</f>
        <v>70.377490449396745</v>
      </c>
      <c r="J31" s="24"/>
      <c r="K31" s="24"/>
      <c r="L31" s="24"/>
      <c r="M31" s="24"/>
      <c r="AP31" s="80"/>
      <c r="AQ31" s="78"/>
      <c r="AR31" s="78"/>
      <c r="AS31" s="78"/>
      <c r="AT31" s="78"/>
      <c r="AU31" s="78"/>
      <c r="AV31" s="78"/>
      <c r="AW31" s="78"/>
      <c r="AX31" s="78"/>
      <c r="AY31" s="80"/>
      <c r="AZ31" s="78"/>
      <c r="BA31" s="78"/>
      <c r="BB31" s="78"/>
    </row>
    <row r="32" spans="2:55" x14ac:dyDescent="0.35">
      <c r="B32" s="55" t="s">
        <v>66</v>
      </c>
      <c r="C32" s="81">
        <v>0.8</v>
      </c>
      <c r="D32" s="34">
        <f>$C$32</f>
        <v>0.8</v>
      </c>
      <c r="E32" s="34">
        <f t="shared" ref="E32:G32" si="10">$C$32</f>
        <v>0.8</v>
      </c>
      <c r="F32" s="34">
        <f t="shared" si="10"/>
        <v>0.8</v>
      </c>
      <c r="G32" s="34">
        <f t="shared" si="10"/>
        <v>0.8</v>
      </c>
      <c r="H32" s="24"/>
      <c r="I32" s="24"/>
      <c r="J32" s="24"/>
      <c r="K32" s="24"/>
      <c r="L32" s="24"/>
      <c r="M32" s="24"/>
      <c r="N32" s="24"/>
      <c r="O32" s="154"/>
      <c r="P32" s="92"/>
      <c r="Q32" s="24"/>
      <c r="AP32" s="78"/>
      <c r="AQ32" s="78"/>
      <c r="AR32" s="78"/>
      <c r="AS32" s="78"/>
      <c r="AT32" s="78"/>
      <c r="AU32" s="78"/>
      <c r="AV32" s="78"/>
      <c r="AW32" s="78"/>
      <c r="AX32" s="80"/>
      <c r="AY32" s="80"/>
      <c r="AZ32" s="78"/>
      <c r="BA32" s="78"/>
      <c r="BB32" s="78"/>
      <c r="BC32" s="76"/>
    </row>
    <row r="33" spans="2:60" x14ac:dyDescent="0.35">
      <c r="B33" s="55" t="s">
        <v>67</v>
      </c>
      <c r="C33" s="81">
        <v>0.4</v>
      </c>
      <c r="D33" s="34">
        <f>$C$33</f>
        <v>0.4</v>
      </c>
      <c r="E33" s="34">
        <f t="shared" ref="E33:G33" si="11">$C$33</f>
        <v>0.4</v>
      </c>
      <c r="F33" s="34">
        <f t="shared" si="11"/>
        <v>0.4</v>
      </c>
      <c r="G33" s="34">
        <f t="shared" si="11"/>
        <v>0.4</v>
      </c>
      <c r="H33" s="108" t="s">
        <v>122</v>
      </c>
      <c r="I33" s="24"/>
      <c r="J33" s="24"/>
      <c r="K33" s="24"/>
      <c r="L33" s="24"/>
      <c r="M33" s="24"/>
      <c r="N33" s="24"/>
      <c r="O33" s="154"/>
      <c r="P33" s="92"/>
      <c r="Q33" s="24"/>
      <c r="AP33" s="78"/>
      <c r="AQ33" s="78"/>
      <c r="AR33" s="78"/>
      <c r="AS33" s="78"/>
      <c r="AT33" s="78"/>
      <c r="AU33" s="78"/>
      <c r="AV33" s="78"/>
      <c r="AW33" s="78"/>
      <c r="AX33" s="80"/>
      <c r="AY33" s="80"/>
      <c r="AZ33" s="78"/>
      <c r="BA33" s="78"/>
      <c r="BB33" s="78"/>
      <c r="BC33" s="76"/>
    </row>
    <row r="34" spans="2:60" x14ac:dyDescent="0.35">
      <c r="B34" s="55" t="s">
        <v>95</v>
      </c>
      <c r="C34" s="31">
        <v>0.35</v>
      </c>
      <c r="D34" s="31">
        <v>0.55000000000000004</v>
      </c>
      <c r="E34" s="31">
        <v>0.75</v>
      </c>
      <c r="F34" s="31">
        <v>0.95</v>
      </c>
      <c r="G34" s="31">
        <v>1.1499999999999999</v>
      </c>
      <c r="H34" s="106">
        <f>(C34*C18+D34*D18+E34*E18+F34*F18+G34*G18)/H18</f>
        <v>0.48673123262307427</v>
      </c>
      <c r="J34" s="24"/>
      <c r="K34" s="24"/>
      <c r="L34" s="24"/>
      <c r="M34" s="24"/>
      <c r="N34" s="24"/>
      <c r="O34" s="24"/>
      <c r="P34" s="24"/>
      <c r="Q34" s="24"/>
      <c r="AP34" s="78"/>
      <c r="AQ34" s="78"/>
      <c r="AR34" s="78"/>
      <c r="AS34" s="78"/>
      <c r="AT34" s="78"/>
      <c r="AU34" s="78"/>
      <c r="AV34" s="78"/>
      <c r="AW34" s="78"/>
      <c r="AX34" s="80"/>
      <c r="AY34" s="80"/>
      <c r="AZ34" s="78"/>
      <c r="BA34" s="78"/>
      <c r="BB34" s="78"/>
      <c r="BC34" s="76"/>
    </row>
    <row r="35" spans="2:60" x14ac:dyDescent="0.35">
      <c r="B35" s="55" t="s">
        <v>68</v>
      </c>
      <c r="C35" s="28">
        <f>((C22/2)/C28+(C23/2)/C27+(C11-(C22+C23)/2)/C29)</f>
        <v>0.87628257646691632</v>
      </c>
      <c r="D35" s="28">
        <f>((D22/2)/D28+(D23/2)/D27+(D11-(D22+D23)/2)/D29)</f>
        <v>1.5285162912556487</v>
      </c>
      <c r="E35" s="28">
        <f>((E22/2)/E28+(E23/2)/E27+(E11-(E22+E23)/2)/E29)</f>
        <v>2.1811306072888343</v>
      </c>
      <c r="F35" s="28">
        <f>((F22/2)/F28+(F23/2)/F27+(F11-(F22+F23)/2)/F29)</f>
        <v>2.8320469345750241</v>
      </c>
      <c r="G35" s="28">
        <f>((G22/2)/G28+(G23/2)/G27+(G11-(G22+G23)/2)/G29)</f>
        <v>3.4656054931335829</v>
      </c>
      <c r="H35" s="93"/>
      <c r="I35" s="93"/>
      <c r="J35" s="93"/>
      <c r="K35" s="93"/>
      <c r="L35" s="93"/>
      <c r="M35" s="93"/>
      <c r="N35" s="93"/>
      <c r="O35" s="93"/>
      <c r="P35" s="93"/>
      <c r="Q35" s="93"/>
      <c r="AP35" s="78"/>
      <c r="AQ35" s="78"/>
      <c r="AR35" s="78"/>
      <c r="AS35" s="78"/>
      <c r="AT35" s="78"/>
      <c r="AU35" s="78"/>
      <c r="AV35" s="78"/>
      <c r="AW35" s="80"/>
      <c r="AX35" s="80"/>
      <c r="AY35" s="100"/>
      <c r="AZ35" s="78"/>
      <c r="BA35" s="78"/>
      <c r="BB35" s="78"/>
    </row>
    <row r="36" spans="2:60" x14ac:dyDescent="0.35">
      <c r="B36" s="55" t="s">
        <v>69</v>
      </c>
      <c r="C36" s="28">
        <f>((C22/2)/C28+(C23/2)/C27+(C13-(C22+C23)/2)/C29)</f>
        <v>0.97784507646691632</v>
      </c>
      <c r="D36" s="28">
        <f>((D22/2)/D28+(D23/2)/D27+(D13-(D22+D23)/2)/D29)</f>
        <v>1.6200655870302967</v>
      </c>
      <c r="E36" s="28">
        <f>((E22/2)/E28+(E23/2)/E27+(E13-(E22+E23)/2)/E29)</f>
        <v>2.270171703179245</v>
      </c>
      <c r="F36" s="28">
        <f>((F22/2)/F28+(F23/2)/F27+(F13-(F22+F23)/2)/F29)</f>
        <v>2.9198847724128623</v>
      </c>
      <c r="G36" s="28">
        <f>((G22/2)/G28+(G23/2)/G27+(G13-(G22+G23)/2)/G29)</f>
        <v>3.5522721598002494</v>
      </c>
      <c r="H36" s="93"/>
      <c r="I36" s="93"/>
      <c r="J36" s="93"/>
      <c r="K36" s="93"/>
      <c r="L36" s="93"/>
      <c r="M36" s="93"/>
      <c r="N36" s="93"/>
      <c r="O36" s="93"/>
      <c r="P36" s="93"/>
      <c r="Q36" s="93"/>
      <c r="AP36" s="80"/>
      <c r="AQ36" s="78"/>
      <c r="AR36" s="78"/>
      <c r="AS36" s="78"/>
      <c r="AT36" s="78"/>
      <c r="AU36" s="78"/>
      <c r="AV36" s="78"/>
      <c r="AW36" s="78"/>
      <c r="AX36" s="78"/>
      <c r="AY36" s="78"/>
      <c r="AZ36" s="78"/>
      <c r="BA36" s="78"/>
      <c r="BB36" s="78"/>
    </row>
    <row r="37" spans="2:60" x14ac:dyDescent="0.35">
      <c r="B37" s="55" t="s">
        <v>70</v>
      </c>
      <c r="C37" s="28">
        <f>IF(C10&gt;0,C10/C28,0)</f>
        <v>0.18055555555555555</v>
      </c>
      <c r="D37" s="28">
        <f t="shared" ref="D37:G37" si="12">IF(D10&gt;0,D10/D28,0)</f>
        <v>0.18055555555555555</v>
      </c>
      <c r="E37" s="28">
        <f t="shared" si="12"/>
        <v>0.18055555555555555</v>
      </c>
      <c r="F37" s="28">
        <f t="shared" si="12"/>
        <v>0.18055555555555555</v>
      </c>
      <c r="G37" s="28">
        <f t="shared" si="12"/>
        <v>0.18055555555555555</v>
      </c>
      <c r="H37" s="93"/>
      <c r="I37" s="93"/>
      <c r="J37" s="93"/>
      <c r="K37" s="93"/>
      <c r="L37" s="93"/>
      <c r="M37" s="93"/>
      <c r="N37" s="93"/>
      <c r="O37" s="93"/>
      <c r="P37" s="93"/>
      <c r="Q37" s="93"/>
      <c r="AP37" s="79"/>
      <c r="AQ37" s="78"/>
      <c r="AR37" s="78"/>
      <c r="AS37" s="78"/>
      <c r="AT37" s="78"/>
      <c r="AU37" s="78"/>
      <c r="AV37" s="78"/>
      <c r="AW37" s="78"/>
      <c r="AX37" s="80"/>
      <c r="AY37" s="100"/>
      <c r="AZ37" s="78"/>
      <c r="BA37" s="78"/>
      <c r="BB37" s="78"/>
      <c r="BC37" s="76"/>
    </row>
    <row r="38" spans="2:60" x14ac:dyDescent="0.35">
      <c r="B38" s="56" t="s">
        <v>71</v>
      </c>
      <c r="C38" s="109">
        <f>SUM(C32:C37)</f>
        <v>3.584683208489388</v>
      </c>
      <c r="D38" s="26">
        <f t="shared" ref="D38:G38" si="13">SUM(D32:D37)</f>
        <v>5.0791374338415007</v>
      </c>
      <c r="E38" s="26">
        <f t="shared" si="13"/>
        <v>6.5818578660236353</v>
      </c>
      <c r="F38" s="26">
        <f t="shared" si="13"/>
        <v>8.0824872625434416</v>
      </c>
      <c r="G38" s="26">
        <f t="shared" si="13"/>
        <v>9.5484332084893886</v>
      </c>
      <c r="H38" s="27"/>
      <c r="I38" s="27"/>
      <c r="J38" s="27"/>
      <c r="K38" s="27"/>
      <c r="L38" s="27"/>
      <c r="M38" s="27"/>
      <c r="N38" s="27"/>
      <c r="O38" s="27"/>
      <c r="P38" s="27"/>
      <c r="Q38" s="27"/>
      <c r="AP38" s="79"/>
      <c r="AQ38" s="78"/>
      <c r="AR38" s="78"/>
      <c r="AS38" s="78"/>
      <c r="AT38" s="78"/>
      <c r="AU38" s="78"/>
      <c r="AV38" s="78"/>
      <c r="AW38" s="78"/>
      <c r="AX38" s="80"/>
      <c r="AY38" s="100"/>
      <c r="AZ38" s="78"/>
      <c r="BA38" s="78"/>
      <c r="BB38" s="78"/>
      <c r="BC38" s="76"/>
    </row>
    <row r="39" spans="2:60" x14ac:dyDescent="0.35">
      <c r="B39" s="55" t="s">
        <v>72</v>
      </c>
      <c r="C39" s="29">
        <f>'B1. Road; distance distribution'!$C$37</f>
        <v>3</v>
      </c>
      <c r="D39" s="29">
        <f>'B1. Road; distance distribution'!$C$37</f>
        <v>3</v>
      </c>
      <c r="E39" s="29">
        <f>'B1. Road; distance distribution'!$C$37</f>
        <v>3</v>
      </c>
      <c r="F39" s="29">
        <f>'B1. Road; distance distribution'!$C$37</f>
        <v>3</v>
      </c>
      <c r="G39" s="29">
        <f>'B1. Road; distance distribution'!$C$37</f>
        <v>3</v>
      </c>
      <c r="H39" s="94"/>
      <c r="I39" s="94"/>
      <c r="J39" s="94"/>
      <c r="K39" s="94"/>
      <c r="L39" s="94"/>
      <c r="M39" s="94"/>
      <c r="N39" s="94"/>
      <c r="O39" s="94"/>
      <c r="P39" s="94"/>
      <c r="Q39" s="94"/>
      <c r="AP39" s="79"/>
      <c r="AQ39" s="78"/>
      <c r="AR39" s="78"/>
      <c r="AS39" s="78"/>
      <c r="AT39" s="78"/>
      <c r="AU39" s="78"/>
      <c r="AV39" s="78"/>
      <c r="AW39" s="78"/>
      <c r="AX39" s="80"/>
      <c r="AY39" s="100"/>
      <c r="AZ39" s="78"/>
      <c r="BA39" s="78"/>
      <c r="BB39" s="78"/>
      <c r="BC39" s="76"/>
    </row>
    <row r="40" spans="2:60" s="51" customFormat="1" x14ac:dyDescent="0.35">
      <c r="B40" s="17" t="s">
        <v>45</v>
      </c>
      <c r="H40" s="78"/>
      <c r="I40" s="78"/>
      <c r="J40" s="78"/>
      <c r="K40" s="78"/>
      <c r="L40" s="78"/>
      <c r="AK40" s="79"/>
      <c r="AL40" s="78"/>
      <c r="AM40" s="78"/>
      <c r="AN40" s="78"/>
      <c r="AO40" s="78"/>
      <c r="AP40" s="78"/>
      <c r="AQ40" s="78"/>
      <c r="AR40" s="80"/>
      <c r="AS40" s="80"/>
      <c r="AT40" s="78"/>
      <c r="AU40" s="78"/>
      <c r="AV40" s="78"/>
      <c r="AW40" s="78"/>
      <c r="AX40"/>
    </row>
    <row r="41" spans="2:60" s="51" customFormat="1" x14ac:dyDescent="0.35">
      <c r="B41" s="11" t="s">
        <v>43</v>
      </c>
      <c r="C41" s="73">
        <v>63</v>
      </c>
      <c r="D41" s="73">
        <v>58</v>
      </c>
      <c r="E41" s="73">
        <v>55</v>
      </c>
      <c r="F41" s="73">
        <v>54</v>
      </c>
      <c r="G41" s="73">
        <v>53</v>
      </c>
      <c r="H41" s="33"/>
      <c r="I41" s="33"/>
      <c r="J41" s="33"/>
      <c r="K41" s="33"/>
      <c r="L41" s="33"/>
      <c r="AK41" s="78"/>
      <c r="AL41" s="78"/>
      <c r="AM41" s="78"/>
      <c r="AN41" s="78"/>
      <c r="AO41" s="78"/>
      <c r="AP41" s="78"/>
      <c r="AQ41" s="78"/>
      <c r="AR41" s="102"/>
      <c r="AS41" s="80"/>
      <c r="AT41" s="100"/>
      <c r="AU41" s="78"/>
      <c r="AV41" s="78"/>
      <c r="AW41" s="78"/>
      <c r="AX41"/>
    </row>
    <row r="42" spans="2:60" s="51" customFormat="1" x14ac:dyDescent="0.35">
      <c r="B42" s="11" t="s">
        <v>44</v>
      </c>
      <c r="C42" s="73">
        <v>77</v>
      </c>
      <c r="D42" s="158">
        <f>$C$42</f>
        <v>77</v>
      </c>
      <c r="E42" s="158">
        <f t="shared" ref="E42:G42" si="14">$C$42</f>
        <v>77</v>
      </c>
      <c r="F42" s="158">
        <f t="shared" si="14"/>
        <v>77</v>
      </c>
      <c r="G42" s="158">
        <f t="shared" si="14"/>
        <v>77</v>
      </c>
      <c r="H42" s="24"/>
      <c r="I42" s="24"/>
      <c r="J42" s="24"/>
      <c r="K42" s="24"/>
      <c r="L42" s="24"/>
      <c r="AK42" s="78"/>
      <c r="AL42" s="78"/>
      <c r="AM42" s="78"/>
      <c r="AN42" s="78"/>
      <c r="AO42" s="78"/>
      <c r="AP42" s="78"/>
      <c r="AQ42" s="78"/>
      <c r="AR42" s="78"/>
      <c r="AS42" s="78"/>
      <c r="AT42" s="78"/>
      <c r="AU42" s="78"/>
      <c r="AV42" s="78"/>
      <c r="AW42" s="78"/>
    </row>
    <row r="43" spans="2:60" s="51" customFormat="1" x14ac:dyDescent="0.35">
      <c r="B43" s="11" t="s">
        <v>73</v>
      </c>
      <c r="C43" s="73">
        <v>43</v>
      </c>
      <c r="D43" s="73">
        <v>41</v>
      </c>
      <c r="E43" s="73">
        <v>40</v>
      </c>
      <c r="F43" s="73">
        <v>39</v>
      </c>
      <c r="G43" s="73">
        <v>39</v>
      </c>
      <c r="H43" s="33"/>
      <c r="I43" s="33"/>
      <c r="J43" s="33"/>
      <c r="K43" s="33"/>
      <c r="L43" s="33"/>
      <c r="AK43" s="78"/>
      <c r="AL43" s="78"/>
      <c r="AM43" s="78"/>
      <c r="AN43" s="78"/>
      <c r="AO43" s="78"/>
      <c r="AP43" s="78"/>
      <c r="AQ43" s="78"/>
      <c r="AR43" s="78"/>
      <c r="AS43" s="80"/>
      <c r="AT43" s="78"/>
      <c r="AU43" s="78"/>
      <c r="AV43" s="78"/>
      <c r="AW43" s="78"/>
      <c r="AX43" s="76"/>
    </row>
    <row r="44" spans="2:60" s="51" customFormat="1" x14ac:dyDescent="0.35">
      <c r="B44" s="11" t="s">
        <v>74</v>
      </c>
      <c r="C44" s="73">
        <v>8</v>
      </c>
      <c r="D44" s="158">
        <f>$C$44</f>
        <v>8</v>
      </c>
      <c r="E44" s="158">
        <f t="shared" ref="E44:G44" si="15">$C$44</f>
        <v>8</v>
      </c>
      <c r="F44" s="158">
        <f t="shared" si="15"/>
        <v>8</v>
      </c>
      <c r="G44" s="158">
        <f t="shared" si="15"/>
        <v>8</v>
      </c>
      <c r="H44" s="24"/>
      <c r="I44" s="24"/>
      <c r="J44" s="24"/>
      <c r="K44" s="24"/>
      <c r="L44" s="24"/>
      <c r="M44" s="24"/>
      <c r="N44" s="24"/>
      <c r="O44" s="24"/>
      <c r="P44" s="24"/>
      <c r="Q44" s="24"/>
      <c r="AP44" s="78"/>
      <c r="AQ44" s="78"/>
      <c r="AR44" s="78"/>
      <c r="AS44" s="78"/>
      <c r="AT44" s="78"/>
      <c r="AU44" s="78"/>
      <c r="AV44" s="78"/>
      <c r="AW44" s="78"/>
      <c r="AX44" s="80"/>
      <c r="AY44" s="78"/>
      <c r="AZ44" s="78"/>
      <c r="BA44" s="78"/>
      <c r="BB44" s="78"/>
      <c r="BC44" s="76"/>
    </row>
    <row r="45" spans="2:60" s="51" customFormat="1" x14ac:dyDescent="0.35">
      <c r="B45" s="11"/>
      <c r="H45" s="78"/>
      <c r="I45" s="78"/>
      <c r="J45" s="78"/>
      <c r="K45" s="78"/>
      <c r="L45" s="78"/>
      <c r="M45" s="78"/>
      <c r="N45" s="78"/>
      <c r="O45" s="78"/>
      <c r="P45" s="78"/>
      <c r="Q45" s="78"/>
      <c r="AP45" s="78"/>
      <c r="AQ45" s="78"/>
      <c r="AR45" s="78"/>
      <c r="AS45" s="78"/>
      <c r="AT45" s="78"/>
      <c r="AU45" s="78"/>
      <c r="AV45" s="78"/>
      <c r="AW45" s="78"/>
      <c r="AX45" s="80"/>
      <c r="AY45" s="78"/>
      <c r="AZ45" s="78"/>
      <c r="BA45" s="78"/>
      <c r="BB45" s="78"/>
      <c r="BC45" s="76"/>
    </row>
    <row r="46" spans="2:60" s="51" customFormat="1" x14ac:dyDescent="0.35">
      <c r="B46" s="54" t="s">
        <v>106</v>
      </c>
      <c r="C46" s="184"/>
      <c r="D46" s="184"/>
      <c r="E46" s="184"/>
      <c r="F46" s="184"/>
      <c r="G46" s="184"/>
      <c r="H46" s="80"/>
      <c r="I46" s="80"/>
      <c r="J46" s="80"/>
      <c r="K46" s="80"/>
      <c r="L46" s="80"/>
      <c r="M46" s="80"/>
      <c r="N46" s="80"/>
      <c r="O46" s="80"/>
      <c r="P46" s="80"/>
      <c r="Q46" s="80"/>
      <c r="AP46" s="78"/>
      <c r="AQ46" s="78"/>
      <c r="AR46" s="78"/>
      <c r="AS46" s="78"/>
      <c r="AT46" s="78"/>
      <c r="AU46" s="78"/>
      <c r="AV46" s="78"/>
      <c r="AW46" s="78"/>
      <c r="AX46" s="78"/>
      <c r="AY46" s="78"/>
      <c r="AZ46" s="78"/>
      <c r="BA46" s="78"/>
      <c r="BB46" s="78"/>
    </row>
    <row r="47" spans="2:60" x14ac:dyDescent="0.35">
      <c r="B47" s="18" t="s">
        <v>75</v>
      </c>
      <c r="C47" s="21"/>
      <c r="D47" s="21"/>
      <c r="E47" s="21"/>
      <c r="F47" s="21"/>
      <c r="G47" s="21"/>
      <c r="I47" s="80" t="s">
        <v>465</v>
      </c>
      <c r="L47" s="80"/>
      <c r="AP47" s="51"/>
      <c r="AQ47" s="51"/>
      <c r="AR47" s="51"/>
      <c r="AS47" s="51"/>
      <c r="AT47" s="51"/>
      <c r="AU47" s="51"/>
      <c r="AV47" s="51"/>
      <c r="AW47" s="51"/>
      <c r="AX47" s="51"/>
      <c r="AY47" s="51"/>
      <c r="AZ47" s="51"/>
      <c r="BA47" s="51"/>
      <c r="BB47" s="51"/>
      <c r="BC47" s="51"/>
      <c r="BD47" s="51"/>
      <c r="BE47" s="51"/>
      <c r="BF47" s="51"/>
      <c r="BG47" s="51"/>
      <c r="BH47" s="51"/>
    </row>
    <row r="48" spans="2:60" ht="18.5" x14ac:dyDescent="0.45">
      <c r="B48" s="8" t="s">
        <v>198</v>
      </c>
      <c r="C48" s="116">
        <f>C9</f>
        <v>50</v>
      </c>
      <c r="D48" s="116">
        <f>D9</f>
        <v>100</v>
      </c>
      <c r="E48" s="116">
        <f>E9</f>
        <v>150</v>
      </c>
      <c r="F48" s="116">
        <f>F9</f>
        <v>200</v>
      </c>
      <c r="G48" s="116">
        <f>G9</f>
        <v>250</v>
      </c>
      <c r="H48" s="361"/>
      <c r="I48" s="108" t="s">
        <v>122</v>
      </c>
      <c r="J48" s="145">
        <f>SUM(C58:G58)/J55</f>
        <v>84.182808155768583</v>
      </c>
      <c r="K48" s="104">
        <f>J48-'B1. Road; distance distribution'!C15</f>
        <v>77.682808155768583</v>
      </c>
      <c r="L48" s="80" t="s">
        <v>196</v>
      </c>
      <c r="M48" s="89"/>
      <c r="N48" s="89"/>
      <c r="O48" s="89"/>
      <c r="P48" s="89"/>
      <c r="Q48" s="89"/>
      <c r="AP48" s="51"/>
      <c r="AQ48" s="51"/>
      <c r="AR48" s="51"/>
      <c r="AS48" s="51"/>
      <c r="AT48" s="51"/>
      <c r="AU48" s="51"/>
      <c r="AV48" s="51"/>
      <c r="AW48" s="51"/>
      <c r="AX48" s="51"/>
      <c r="AY48" s="51"/>
      <c r="AZ48" s="51"/>
      <c r="BA48" s="51"/>
      <c r="BB48" s="51"/>
      <c r="BC48" s="51"/>
      <c r="BD48" s="51"/>
      <c r="BE48" s="51"/>
      <c r="BF48" s="51"/>
      <c r="BG48" s="51"/>
    </row>
    <row r="49" spans="2:60" x14ac:dyDescent="0.35">
      <c r="B49" s="19" t="s">
        <v>77</v>
      </c>
      <c r="C49" s="116">
        <f>C14</f>
        <v>100</v>
      </c>
      <c r="D49" s="116">
        <f>D14</f>
        <v>200</v>
      </c>
      <c r="E49" s="116">
        <f>E14</f>
        <v>300</v>
      </c>
      <c r="F49" s="116">
        <f>F14</f>
        <v>400</v>
      </c>
      <c r="G49" s="116">
        <f>G14</f>
        <v>500</v>
      </c>
      <c r="H49" s="361"/>
      <c r="I49" s="108" t="s">
        <v>122</v>
      </c>
      <c r="J49" s="105">
        <f>SUM(C57:G57)/J55</f>
        <v>168.36561631153717</v>
      </c>
      <c r="L49" s="89"/>
      <c r="M49" s="89"/>
      <c r="N49" s="89"/>
      <c r="O49" s="89"/>
      <c r="P49" s="89"/>
      <c r="Q49" s="89"/>
    </row>
    <row r="50" spans="2:60" x14ac:dyDescent="0.35">
      <c r="B50" s="19" t="s">
        <v>78</v>
      </c>
      <c r="C50" s="117">
        <f>C38</f>
        <v>3.584683208489388</v>
      </c>
      <c r="D50" s="117">
        <f t="shared" ref="D50:G50" si="16">D38</f>
        <v>5.0791374338415007</v>
      </c>
      <c r="E50" s="117">
        <f t="shared" si="16"/>
        <v>6.5818578660236353</v>
      </c>
      <c r="F50" s="117">
        <f t="shared" si="16"/>
        <v>8.0824872625434416</v>
      </c>
      <c r="G50" s="117">
        <f t="shared" si="16"/>
        <v>9.5484332084893886</v>
      </c>
      <c r="H50" s="361"/>
      <c r="I50" s="108" t="s">
        <v>122</v>
      </c>
      <c r="J50" s="106">
        <f>'B1. Road; distance distribution'!$C$44/'B2. Road; distance distribution'!J55</f>
        <v>4.6075633411929848</v>
      </c>
      <c r="L50" s="96"/>
      <c r="M50" s="96"/>
      <c r="N50" s="96"/>
      <c r="O50" s="96"/>
      <c r="P50" s="96"/>
      <c r="Q50" s="96"/>
    </row>
    <row r="51" spans="2:60" x14ac:dyDescent="0.35">
      <c r="B51" s="19" t="s">
        <v>79</v>
      </c>
      <c r="C51" s="116">
        <f>C14/(C35+C36+C37)</f>
        <v>49.147700036431267</v>
      </c>
      <c r="D51" s="116">
        <f>D14/(D35+D36+D37)</f>
        <v>60.075621380766925</v>
      </c>
      <c r="E51" s="116">
        <f>E14/(E35+E36+E37)</f>
        <v>64.768826824460504</v>
      </c>
      <c r="F51" s="116">
        <f>F14/(F35+F36+F37)</f>
        <v>67.425344935086741</v>
      </c>
      <c r="G51" s="116">
        <f>G14/(G35+G36+G37)</f>
        <v>69.459559534473541</v>
      </c>
      <c r="H51" s="361"/>
      <c r="I51" s="108" t="s">
        <v>122</v>
      </c>
      <c r="J51" s="105">
        <f>'B1. Road; distance distribution'!C50</f>
        <v>57.643031181950349</v>
      </c>
      <c r="M51" s="89"/>
      <c r="N51" s="89"/>
      <c r="O51" s="89"/>
      <c r="P51" s="89"/>
      <c r="Q51" s="89"/>
    </row>
    <row r="52" spans="2:60" x14ac:dyDescent="0.35">
      <c r="B52" s="19" t="s">
        <v>80</v>
      </c>
      <c r="C52" s="116">
        <f>(C41*(C11/100)+C42*(C10/100)+C43*(C13/100)+C44*(C32+'B1. Road; distance distribution'!C74/100*C33))/(C14/100)</f>
        <v>61.910000000000004</v>
      </c>
      <c r="D52" s="116">
        <f>(D41*(D11/100)+D42*(D10/100)+D43*(D13/100)+D44*(D32+'B1. Road; distance distribution'!C74/100*D33))/(D14/100)</f>
        <v>54.117500000000007</v>
      </c>
      <c r="E52" s="116">
        <f>(E41*(E11/100)+E42*(E10/100)+E43*(E13/100)+E44*(E32+'B1. Road; distance distribution'!C74/100*E33))/(E14/100)</f>
        <v>50.643333333333338</v>
      </c>
      <c r="F52" s="116">
        <f>(F41*(F11/100)+F42*(F10/100)+F43*(F13/100)+F44*(F32+'B1. Road; distance distribution'!C74/100*F33))/(F14/100)</f>
        <v>48.873750000000001</v>
      </c>
      <c r="G52" s="116">
        <f>(G41*(G11/100)+G42*(G10/100)+G43*(G13/100)+G44*(G32+'B1. Road; distance distribution'!C74/100*G33))/(G14/100)</f>
        <v>47.911999999999999</v>
      </c>
      <c r="H52" s="361"/>
      <c r="I52" s="108" t="s">
        <v>122</v>
      </c>
      <c r="J52" s="107">
        <f>(C52*C57+D52*D57+E52*E57+F52*F57+G52*G57)/(SUM(C57:G57))</f>
        <v>55.311752856006088</v>
      </c>
      <c r="K52" s="104">
        <f>('B1. Road; distance distribution'!C53-(J55*'B1. Road; distance distribution'!C30+J55*'B1. Road; distance distribution'!C74/100*'B1. Road; distance distribution'!C31)*'B1. Road; distance distribution'!C42)/'B1. Road; distance distribution'!C58*100</f>
        <v>50.560188863749424</v>
      </c>
      <c r="L52" s="80" t="s">
        <v>197</v>
      </c>
      <c r="M52" s="89"/>
      <c r="N52" s="89"/>
      <c r="O52" s="89"/>
      <c r="P52" s="89"/>
      <c r="Q52" s="89"/>
    </row>
    <row r="53" spans="2:60" x14ac:dyDescent="0.35">
      <c r="B53" s="19" t="s">
        <v>81</v>
      </c>
      <c r="C53" s="116">
        <f>C38*C18</f>
        <v>1351.8120000000001</v>
      </c>
      <c r="D53" s="116">
        <f>D38*D18</f>
        <v>1458.5339999999999</v>
      </c>
      <c r="E53" s="116">
        <f>E38*E18</f>
        <v>569.18400000000008</v>
      </c>
      <c r="F53" s="116">
        <f>F38*F18</f>
        <v>142.29600000000002</v>
      </c>
      <c r="G53" s="116">
        <f>G38*G18</f>
        <v>35.574000000000005</v>
      </c>
      <c r="H53" s="361"/>
      <c r="I53" s="108" t="s">
        <v>131</v>
      </c>
      <c r="J53" s="105">
        <f t="shared" ref="J53:J56" si="17">SUM(C53:G53)</f>
        <v>3557.4</v>
      </c>
      <c r="L53" s="89"/>
      <c r="M53" s="89"/>
      <c r="N53" s="89"/>
      <c r="O53" s="89"/>
      <c r="P53" s="89"/>
      <c r="Q53" s="89"/>
    </row>
    <row r="54" spans="2:60" x14ac:dyDescent="0.35">
      <c r="B54" s="19" t="s">
        <v>82</v>
      </c>
      <c r="C54" s="116">
        <f t="shared" ref="C54:G54" si="18">(1+C39/100)*C53</f>
        <v>1392.3663600000002</v>
      </c>
      <c r="D54" s="116">
        <f t="shared" si="18"/>
        <v>1502.2900199999999</v>
      </c>
      <c r="E54" s="116">
        <f t="shared" si="18"/>
        <v>586.25952000000007</v>
      </c>
      <c r="F54" s="116">
        <f t="shared" si="18"/>
        <v>146.56488000000002</v>
      </c>
      <c r="G54" s="116">
        <f t="shared" si="18"/>
        <v>36.641220000000004</v>
      </c>
      <c r="H54" s="361"/>
      <c r="I54" s="108" t="s">
        <v>131</v>
      </c>
      <c r="J54" s="105">
        <f t="shared" si="17"/>
        <v>3664.1220000000003</v>
      </c>
      <c r="L54" s="89"/>
      <c r="M54" s="89"/>
      <c r="N54" s="89"/>
      <c r="O54" s="89"/>
      <c r="P54" s="89"/>
      <c r="Q54" s="89"/>
    </row>
    <row r="55" spans="2:60" x14ac:dyDescent="0.35">
      <c r="B55" s="8" t="s">
        <v>83</v>
      </c>
      <c r="C55" s="116">
        <f>C18</f>
        <v>377.10780043229084</v>
      </c>
      <c r="D55" s="116">
        <f>D18</f>
        <v>287.16175118279244</v>
      </c>
      <c r="E55" s="116">
        <f>E18</f>
        <v>86.477710638237625</v>
      </c>
      <c r="F55" s="116">
        <f>F18</f>
        <v>17.605471605187724</v>
      </c>
      <c r="G55" s="116">
        <f>G18</f>
        <v>3.7256374133058419</v>
      </c>
      <c r="H55" s="361"/>
      <c r="I55" s="108" t="s">
        <v>131</v>
      </c>
      <c r="J55" s="105">
        <f t="shared" si="17"/>
        <v>772.0783712718146</v>
      </c>
      <c r="L55" s="89"/>
      <c r="M55" s="89"/>
      <c r="N55" s="89"/>
      <c r="O55" s="89"/>
      <c r="P55" s="89"/>
      <c r="Q55" s="89"/>
    </row>
    <row r="56" spans="2:60" x14ac:dyDescent="0.35">
      <c r="B56" s="8" t="s">
        <v>84</v>
      </c>
      <c r="C56" s="116">
        <f>C55*'B1. Road; distance distribution'!$C$12</f>
        <v>15838.527618156215</v>
      </c>
      <c r="D56" s="116">
        <f>D55*'B1. Road; distance distribution'!$C$12</f>
        <v>12060.793549677282</v>
      </c>
      <c r="E56" s="116">
        <f>E55*'B1. Road; distance distribution'!$C$12</f>
        <v>3632.0638468059801</v>
      </c>
      <c r="F56" s="116">
        <f>F55*'B1. Road; distance distribution'!$C$12</f>
        <v>739.42980741788438</v>
      </c>
      <c r="G56" s="116">
        <f>G55*'B1. Road; distance distribution'!$C$12</f>
        <v>156.47677135884535</v>
      </c>
      <c r="H56" s="361"/>
      <c r="I56" s="108" t="s">
        <v>131</v>
      </c>
      <c r="J56" s="105">
        <f t="shared" si="17"/>
        <v>32427.291593416208</v>
      </c>
      <c r="L56" s="89"/>
      <c r="M56" s="89"/>
      <c r="N56" s="89"/>
      <c r="O56" s="89"/>
      <c r="P56" s="89"/>
      <c r="Q56" s="89"/>
    </row>
    <row r="57" spans="2:60" x14ac:dyDescent="0.35">
      <c r="B57" s="10" t="s">
        <v>85</v>
      </c>
      <c r="C57" s="116">
        <f>C55*C14</f>
        <v>37710.780043229082</v>
      </c>
      <c r="D57" s="116">
        <f>D55*D14</f>
        <v>57432.350236558486</v>
      </c>
      <c r="E57" s="116">
        <f>E55*E14</f>
        <v>25943.313191471287</v>
      </c>
      <c r="F57" s="116">
        <f>F55*F14</f>
        <v>7042.1886420750898</v>
      </c>
      <c r="G57" s="116">
        <f>G55*G14</f>
        <v>1862.818706652921</v>
      </c>
      <c r="H57" s="361"/>
      <c r="I57" s="108" t="s">
        <v>131</v>
      </c>
      <c r="J57" s="105">
        <f>SUM(C57:G57)</f>
        <v>129991.45081998687</v>
      </c>
      <c r="L57" s="89"/>
      <c r="M57" s="89"/>
      <c r="N57" s="89"/>
      <c r="O57" s="89"/>
      <c r="P57" s="89"/>
      <c r="Q57" s="89"/>
    </row>
    <row r="58" spans="2:60" s="51" customFormat="1" x14ac:dyDescent="0.35">
      <c r="B58" s="10" t="s">
        <v>123</v>
      </c>
      <c r="C58" s="116">
        <f>C18*C9</f>
        <v>18855.390021614541</v>
      </c>
      <c r="D58" s="116">
        <f>D18*D9</f>
        <v>28716.175118279243</v>
      </c>
      <c r="E58" s="116">
        <f>E18*E9</f>
        <v>12971.656595735643</v>
      </c>
      <c r="F58" s="116">
        <f>F18*F9</f>
        <v>3521.0943210375449</v>
      </c>
      <c r="G58" s="116">
        <f>G18*G9</f>
        <v>931.40935332646052</v>
      </c>
      <c r="H58" s="361"/>
      <c r="I58" s="108" t="s">
        <v>122</v>
      </c>
      <c r="J58" s="105">
        <f>L58/$J$55</f>
        <v>84.182808155768583</v>
      </c>
      <c r="K58" s="108" t="s">
        <v>131</v>
      </c>
      <c r="L58" s="105">
        <f>SUM(C58:G58)</f>
        <v>64995.725409993436</v>
      </c>
      <c r="M58" s="89"/>
      <c r="N58" s="89"/>
      <c r="O58" s="89"/>
      <c r="P58" s="89"/>
      <c r="Q58" s="89"/>
      <c r="AP58"/>
      <c r="AQ58"/>
      <c r="AR58"/>
      <c r="AS58"/>
      <c r="AT58"/>
      <c r="AU58"/>
      <c r="AV58"/>
      <c r="AW58"/>
      <c r="AX58"/>
      <c r="AY58"/>
      <c r="AZ58"/>
      <c r="BA58"/>
      <c r="BB58"/>
      <c r="BC58"/>
      <c r="BD58"/>
      <c r="BE58"/>
      <c r="BF58"/>
      <c r="BG58"/>
      <c r="BH58"/>
    </row>
    <row r="59" spans="2:60" s="76" customFormat="1" x14ac:dyDescent="0.35">
      <c r="B59" s="10" t="s">
        <v>199</v>
      </c>
      <c r="C59" s="116">
        <f>C11*C18</f>
        <v>16404.189318804652</v>
      </c>
      <c r="D59" s="116">
        <f t="shared" ref="D59:G59" si="19">D11*D18</f>
        <v>26849.623735591093</v>
      </c>
      <c r="E59" s="116">
        <f t="shared" si="19"/>
        <v>12409.551476587099</v>
      </c>
      <c r="F59" s="116">
        <f t="shared" si="19"/>
        <v>3406.6587556038244</v>
      </c>
      <c r="G59" s="116">
        <f t="shared" si="19"/>
        <v>907.19271013997252</v>
      </c>
      <c r="H59" s="361"/>
      <c r="I59" s="108" t="s">
        <v>122</v>
      </c>
      <c r="J59" s="105">
        <f t="shared" ref="J59:J61" si="20">L59/$J$55</f>
        <v>77.682808155768569</v>
      </c>
      <c r="K59" s="108" t="s">
        <v>131</v>
      </c>
      <c r="L59" s="105">
        <f>SUM(C59:G59)</f>
        <v>59977.215996726634</v>
      </c>
      <c r="M59" s="89"/>
      <c r="N59" s="89"/>
      <c r="O59" s="89"/>
      <c r="P59" s="89"/>
      <c r="Q59" s="89"/>
    </row>
    <row r="60" spans="2:60" s="76" customFormat="1" x14ac:dyDescent="0.35">
      <c r="B60" s="10" t="s">
        <v>200</v>
      </c>
      <c r="C60" s="116">
        <f>C10*C18</f>
        <v>2451.2007028098906</v>
      </c>
      <c r="D60" s="116">
        <f t="shared" ref="D60:G60" si="21">D10*D18</f>
        <v>1866.5513826881509</v>
      </c>
      <c r="E60" s="116">
        <f t="shared" si="21"/>
        <v>562.10511914854453</v>
      </c>
      <c r="F60" s="116">
        <f t="shared" si="21"/>
        <v>114.4355654337202</v>
      </c>
      <c r="G60" s="116">
        <f t="shared" si="21"/>
        <v>24.216643186487971</v>
      </c>
      <c r="H60" s="361"/>
      <c r="I60" s="108" t="s">
        <v>122</v>
      </c>
      <c r="J60" s="105">
        <f t="shared" si="20"/>
        <v>6.5</v>
      </c>
      <c r="K60" s="108" t="s">
        <v>131</v>
      </c>
      <c r="L60" s="105">
        <f>SUM(C60:G60)</f>
        <v>5018.5094132667946</v>
      </c>
      <c r="M60" s="89"/>
      <c r="N60" s="89"/>
      <c r="O60" s="89"/>
      <c r="P60" s="89"/>
      <c r="Q60" s="89"/>
    </row>
    <row r="61" spans="2:60" s="51" customFormat="1" x14ac:dyDescent="0.35">
      <c r="B61" s="10" t="s">
        <v>201</v>
      </c>
      <c r="C61" s="116">
        <f>C13*C18</f>
        <v>18855.390021614541</v>
      </c>
      <c r="D61" s="116">
        <f>D13*D18</f>
        <v>28716.175118279243</v>
      </c>
      <c r="E61" s="116">
        <f>E13*E18</f>
        <v>12971.656595735643</v>
      </c>
      <c r="F61" s="116">
        <f>F13*F18</f>
        <v>3521.0943210375449</v>
      </c>
      <c r="G61" s="116">
        <f>G13*G18</f>
        <v>931.40935332646052</v>
      </c>
      <c r="H61" s="361"/>
      <c r="I61" s="108" t="s">
        <v>122</v>
      </c>
      <c r="J61" s="105">
        <f t="shared" si="20"/>
        <v>84.182808155768583</v>
      </c>
      <c r="K61" s="108" t="s">
        <v>131</v>
      </c>
      <c r="L61" s="105">
        <f>SUM(C61:G61)</f>
        <v>64995.725409993436</v>
      </c>
      <c r="M61" s="89"/>
      <c r="N61" s="89"/>
      <c r="O61" s="89"/>
      <c r="P61" s="89"/>
      <c r="Q61" s="89"/>
      <c r="AP61"/>
      <c r="AQ61"/>
      <c r="AR61"/>
      <c r="AS61"/>
      <c r="AT61"/>
      <c r="AU61"/>
      <c r="AV61"/>
      <c r="AW61"/>
      <c r="AX61"/>
      <c r="AY61"/>
      <c r="AZ61"/>
      <c r="BA61"/>
      <c r="BB61"/>
      <c r="BC61"/>
      <c r="BD61"/>
      <c r="BE61"/>
      <c r="BF61"/>
      <c r="BG61"/>
    </row>
    <row r="62" spans="2:60" s="51" customFormat="1" x14ac:dyDescent="0.35">
      <c r="B62" s="10" t="s">
        <v>467</v>
      </c>
      <c r="C62" s="60">
        <f>C35*C$18</f>
        <v>330.4529949685795</v>
      </c>
      <c r="D62" s="60">
        <f t="shared" ref="D62:G62" si="22">D35*D$18</f>
        <v>438.93141490839929</v>
      </c>
      <c r="E62" s="60">
        <f>E35*E$18</f>
        <v>188.61918152132733</v>
      </c>
      <c r="F62" s="60">
        <f t="shared" si="22"/>
        <v>49.859521891219522</v>
      </c>
      <c r="G62" s="60">
        <f t="shared" si="22"/>
        <v>12.911589484976718</v>
      </c>
      <c r="H62" s="361"/>
      <c r="I62" s="108" t="s">
        <v>122</v>
      </c>
      <c r="J62" s="106">
        <f>SUM(C62:G62)/$J$55</f>
        <v>1.3221128071403165</v>
      </c>
      <c r="K62" s="108" t="s">
        <v>131</v>
      </c>
      <c r="L62" s="104">
        <f>SUM(C62:G62)</f>
        <v>1020.7747027745023</v>
      </c>
      <c r="M62" s="91"/>
      <c r="N62" s="91"/>
      <c r="O62" s="91"/>
      <c r="P62" s="91"/>
      <c r="Q62" s="91"/>
    </row>
    <row r="63" spans="2:60" s="51" customFormat="1" x14ac:dyDescent="0.35">
      <c r="B63" s="10" t="s">
        <v>466</v>
      </c>
      <c r="C63" s="60">
        <f>C36*C$18</f>
        <v>368.75300594998407</v>
      </c>
      <c r="D63" s="60">
        <f>D36*D$18</f>
        <v>465.22087100259864</v>
      </c>
      <c r="E63" s="60">
        <f>E36*E$18</f>
        <v>196.31925164664983</v>
      </c>
      <c r="F63" s="60">
        <f>F36*F$18</f>
        <v>51.405948451134662</v>
      </c>
      <c r="G63" s="60">
        <f>G36*G$18</f>
        <v>13.234478060796556</v>
      </c>
      <c r="H63" s="361"/>
      <c r="I63" s="108" t="s">
        <v>122</v>
      </c>
      <c r="J63" s="106">
        <f>SUM(C63:G63)/$J$55</f>
        <v>1.4181637458740395</v>
      </c>
      <c r="K63" s="108" t="s">
        <v>131</v>
      </c>
      <c r="L63" s="104">
        <f t="shared" ref="L63:L64" si="23">SUM(C63:G63)</f>
        <v>1094.933555111164</v>
      </c>
      <c r="M63" s="91"/>
      <c r="N63" s="91"/>
      <c r="O63" s="91"/>
      <c r="P63" s="91"/>
      <c r="Q63" s="91"/>
      <c r="Z63" s="78"/>
      <c r="AA63" s="78"/>
      <c r="AB63" s="78"/>
      <c r="AC63" s="78"/>
      <c r="AD63" s="78"/>
      <c r="AE63" s="78"/>
      <c r="AF63" s="78"/>
      <c r="AG63" s="78"/>
      <c r="AH63" s="78"/>
      <c r="AI63" s="78"/>
      <c r="AJ63" s="78"/>
      <c r="AK63" s="78"/>
      <c r="AL63" s="78"/>
      <c r="AM63" s="78"/>
      <c r="AN63" s="78"/>
      <c r="AO63" s="78"/>
      <c r="AP63" s="78"/>
      <c r="AQ63" s="78"/>
    </row>
    <row r="64" spans="2:60" s="51" customFormat="1" x14ac:dyDescent="0.35">
      <c r="B64" s="10" t="s">
        <v>468</v>
      </c>
      <c r="C64" s="60">
        <f>C37*C$18</f>
        <v>68.088908411385844</v>
      </c>
      <c r="D64" s="60">
        <f>D37*D$18</f>
        <v>51.848649519115298</v>
      </c>
      <c r="E64" s="60">
        <f>E37*E$18</f>
        <v>15.614031087459571</v>
      </c>
      <c r="F64" s="60">
        <f>F37*F$18</f>
        <v>3.1787657064922277</v>
      </c>
      <c r="G64" s="60">
        <f>G37*G$18</f>
        <v>0.67268453295799924</v>
      </c>
      <c r="H64" s="361"/>
      <c r="I64" s="108" t="s">
        <v>122</v>
      </c>
      <c r="J64" s="106">
        <f>SUM(C64:G64)/$J$55</f>
        <v>0.18055555555555547</v>
      </c>
      <c r="K64" s="108" t="s">
        <v>131</v>
      </c>
      <c r="L64" s="104">
        <f t="shared" si="23"/>
        <v>139.40303925741091</v>
      </c>
      <c r="M64" s="91"/>
      <c r="N64" s="91"/>
      <c r="O64" s="91"/>
      <c r="P64" s="91"/>
      <c r="Q64" s="91"/>
      <c r="R64" s="78"/>
      <c r="S64" s="78"/>
      <c r="T64" s="78"/>
      <c r="Z64" s="78"/>
      <c r="AA64" s="78"/>
      <c r="AB64" s="40"/>
      <c r="AC64" s="40"/>
      <c r="AD64" s="40"/>
      <c r="AE64" s="40"/>
      <c r="AF64" s="40"/>
      <c r="AG64" s="40"/>
      <c r="AH64" s="40"/>
      <c r="AI64" s="40"/>
      <c r="AJ64" s="40"/>
      <c r="AK64" s="40"/>
      <c r="AL64" s="40"/>
      <c r="AM64" s="40"/>
      <c r="AN64" s="40"/>
      <c r="AO64" s="40"/>
      <c r="AP64" s="40"/>
      <c r="AQ64" s="78"/>
    </row>
    <row r="65" spans="2:60" x14ac:dyDescent="0.35">
      <c r="E65" s="51"/>
      <c r="R65" s="78"/>
      <c r="S65" s="78"/>
      <c r="T65" s="78"/>
      <c r="Z65" s="78"/>
      <c r="AA65" s="18"/>
      <c r="AB65" s="167"/>
      <c r="AC65" s="167"/>
      <c r="AD65" s="167"/>
      <c r="AE65" s="167"/>
      <c r="AF65" s="167"/>
      <c r="AG65" s="40"/>
      <c r="AH65" s="40"/>
      <c r="AI65" s="40"/>
      <c r="AJ65" s="168"/>
      <c r="AK65" s="167"/>
      <c r="AL65" s="167"/>
      <c r="AM65" s="167"/>
      <c r="AN65" s="167"/>
      <c r="AO65" s="167"/>
      <c r="AP65" s="40"/>
      <c r="AQ65" s="78"/>
      <c r="AR65" s="51"/>
      <c r="AS65" s="51"/>
      <c r="AT65" s="51"/>
      <c r="AU65" s="51"/>
      <c r="AV65" s="51"/>
      <c r="AW65" s="51"/>
      <c r="AX65" s="51"/>
      <c r="AY65" s="51"/>
      <c r="AZ65" s="51"/>
      <c r="BA65" s="51"/>
      <c r="BB65" s="51"/>
      <c r="BC65" s="51"/>
      <c r="BD65" s="51"/>
      <c r="BE65" s="51"/>
      <c r="BF65" s="51"/>
      <c r="BG65" s="51"/>
      <c r="BH65" s="51"/>
    </row>
    <row r="66" spans="2:60" x14ac:dyDescent="0.35">
      <c r="B66" s="10" t="s">
        <v>111</v>
      </c>
      <c r="C66" s="118">
        <f>'B1. Road; distance distribution'!$C$110/$H$18</f>
        <v>180.80210563148393</v>
      </c>
      <c r="D66" s="118">
        <f>'B1. Road; distance distribution'!$C$110/$H$18</f>
        <v>180.80210563148393</v>
      </c>
      <c r="E66" s="118">
        <f>'B1. Road; distance distribution'!$C$110/$H$18</f>
        <v>180.80210563148393</v>
      </c>
      <c r="F66" s="118">
        <f>'B1. Road; distance distribution'!$C$110/$H$18</f>
        <v>180.80210563148393</v>
      </c>
      <c r="G66" s="118">
        <f>'B1. Road; distance distribution'!$C$110/$H$18</f>
        <v>180.80210563148393</v>
      </c>
      <c r="H66" s="97"/>
      <c r="I66" s="97"/>
      <c r="J66" s="97"/>
      <c r="K66" s="97"/>
      <c r="L66" s="97"/>
      <c r="M66" s="97"/>
      <c r="N66" s="97"/>
      <c r="O66" s="97"/>
      <c r="P66" s="97"/>
      <c r="Q66" s="97"/>
      <c r="R66" s="78"/>
      <c r="S66" s="78"/>
      <c r="T66" s="78"/>
      <c r="Z66" s="78"/>
      <c r="AA66" s="78"/>
      <c r="AB66" s="40"/>
      <c r="AC66" s="40"/>
      <c r="AD66" s="40"/>
      <c r="AE66" s="40"/>
      <c r="AF66" s="40"/>
      <c r="AG66" s="40"/>
      <c r="AH66" s="40"/>
      <c r="AI66" s="40"/>
      <c r="AJ66" s="40"/>
      <c r="AK66" s="169"/>
      <c r="AL66" s="169"/>
      <c r="AM66" s="169"/>
      <c r="AN66" s="169"/>
      <c r="AO66" s="169"/>
      <c r="AP66" s="40"/>
      <c r="AQ66" s="78"/>
      <c r="AR66" s="51"/>
      <c r="AS66" s="51"/>
      <c r="AT66" s="51"/>
      <c r="AU66" s="51"/>
      <c r="AV66" s="51"/>
      <c r="AW66" s="51"/>
      <c r="AX66" s="51"/>
      <c r="AY66" s="51"/>
      <c r="AZ66" s="51"/>
      <c r="BA66" s="51"/>
      <c r="BB66" s="51"/>
      <c r="BC66" s="51"/>
      <c r="BD66" s="51"/>
      <c r="BE66" s="51"/>
      <c r="BF66" s="51"/>
      <c r="BG66" s="51"/>
    </row>
    <row r="67" spans="2:60" x14ac:dyDescent="0.35">
      <c r="B67" s="9" t="s">
        <v>112</v>
      </c>
      <c r="C67" s="119">
        <f>('B1. Road; distance distribution'!$C$110*('B2. Road; distance distribution'!C16/100))/C18</f>
        <v>140.66399615656613</v>
      </c>
      <c r="D67" s="119">
        <f>('B1. Road; distance distribution'!$C$110*('B2. Road; distance distribution'!D16/100))/D18</f>
        <v>199.30680813873852</v>
      </c>
      <c r="E67" s="119">
        <f>('B1. Road; distance distribution'!$C$110*('B2. Road; distance distribution'!E16/100))/E18</f>
        <v>258.27398844528994</v>
      </c>
      <c r="F67" s="119">
        <f>('B1. Road; distance distribution'!$C$110*('B2. Road; distance distribution'!F16/100))/F18</f>
        <v>317.15911591334446</v>
      </c>
      <c r="G67" s="119">
        <f>('B1. Road; distance distribution'!$C$110*('B2. Road; distance distribution'!G16/100))/G18</f>
        <v>374.68325484364925</v>
      </c>
      <c r="H67" s="98"/>
      <c r="I67" s="98"/>
      <c r="J67" s="98"/>
      <c r="K67" s="98"/>
      <c r="L67" s="98"/>
      <c r="M67" s="98"/>
      <c r="N67" s="98"/>
      <c r="O67" s="98"/>
      <c r="P67" s="98"/>
      <c r="Q67" s="98"/>
      <c r="R67" s="78"/>
      <c r="S67" s="78"/>
      <c r="T67" s="78"/>
      <c r="Z67" s="78"/>
      <c r="AA67" s="78"/>
      <c r="AB67" s="169"/>
      <c r="AC67" s="169"/>
      <c r="AD67" s="169"/>
      <c r="AE67" s="169"/>
      <c r="AF67" s="169"/>
      <c r="AG67" s="40"/>
      <c r="AH67" s="40"/>
      <c r="AI67" s="40"/>
      <c r="AJ67" s="40"/>
      <c r="AK67" s="169"/>
      <c r="AL67" s="169"/>
      <c r="AM67" s="169"/>
      <c r="AN67" s="169"/>
      <c r="AO67" s="169"/>
      <c r="AP67" s="40"/>
      <c r="AQ67" s="78"/>
    </row>
    <row r="68" spans="2:60" x14ac:dyDescent="0.35">
      <c r="B68" s="9" t="s">
        <v>114</v>
      </c>
      <c r="C68" s="119">
        <f>'B1. Road; distance distribution'!$C$130</f>
        <v>17.976254741337971</v>
      </c>
      <c r="D68" s="119">
        <f>'B1. Road; distance distribution'!$C$130</f>
        <v>17.976254741337971</v>
      </c>
      <c r="E68" s="119">
        <f>'B1. Road; distance distribution'!$C$130</f>
        <v>17.976254741337971</v>
      </c>
      <c r="F68" s="119">
        <f>'B1. Road; distance distribution'!$C$130</f>
        <v>17.976254741337971</v>
      </c>
      <c r="G68" s="119">
        <f>'B1. Road; distance distribution'!$C$130</f>
        <v>17.976254741337971</v>
      </c>
      <c r="H68" s="98"/>
      <c r="I68" s="98"/>
      <c r="J68" s="98"/>
      <c r="K68" s="98"/>
      <c r="L68" s="98"/>
      <c r="M68" s="98"/>
      <c r="N68" s="98"/>
      <c r="O68" s="98"/>
      <c r="P68" s="98"/>
      <c r="Q68" s="98"/>
      <c r="R68" s="78"/>
      <c r="S68" s="78"/>
      <c r="T68" s="78"/>
      <c r="Z68" s="78"/>
      <c r="AA68" s="78"/>
      <c r="AB68" s="99"/>
      <c r="AC68" s="99"/>
      <c r="AD68" s="99"/>
      <c r="AE68" s="99"/>
      <c r="AF68" s="99"/>
      <c r="AG68" s="78"/>
      <c r="AH68" s="78"/>
      <c r="AI68" s="78"/>
      <c r="AJ68" s="78"/>
      <c r="AK68" s="99"/>
      <c r="AL68" s="99"/>
      <c r="AM68" s="99"/>
      <c r="AN68" s="99"/>
      <c r="AO68" s="99"/>
      <c r="AP68" s="78"/>
      <c r="AQ68" s="78"/>
    </row>
    <row r="69" spans="2:60" s="51" customFormat="1" ht="15" customHeight="1" x14ac:dyDescent="0.35">
      <c r="B69" s="51" t="s">
        <v>116</v>
      </c>
      <c r="C69" s="119">
        <f>C73*(C14+'B1. Road; distance distribution'!$D$19)</f>
        <v>49.828987226447673</v>
      </c>
      <c r="D69" s="119">
        <f>D73*(D14+'B1. Road; distance distribution'!$D$19)</f>
        <v>99.657974452895346</v>
      </c>
      <c r="E69" s="119">
        <f>E73*(E14+'B1. Road; distance distribution'!$D$19)</f>
        <v>149.48696167934301</v>
      </c>
      <c r="F69" s="119">
        <f>F73*(F14+'B1. Road; distance distribution'!$D$19)</f>
        <v>199.31594890579069</v>
      </c>
      <c r="G69" s="119">
        <f>G73*(G14+'B1. Road; distance distribution'!$D$19)</f>
        <v>249.14493613223837</v>
      </c>
      <c r="H69" s="98"/>
      <c r="I69" s="98"/>
      <c r="J69" s="98"/>
      <c r="K69" s="98"/>
      <c r="L69" s="98"/>
      <c r="M69" s="98"/>
      <c r="N69" s="98"/>
      <c r="O69" s="98"/>
      <c r="P69" s="98"/>
      <c r="Q69" s="98"/>
      <c r="R69" s="78"/>
      <c r="S69" s="78"/>
      <c r="T69" s="78"/>
      <c r="Z69" s="78"/>
      <c r="AA69" s="78"/>
      <c r="AB69" s="19"/>
      <c r="AC69" s="19"/>
      <c r="AD69" s="19"/>
      <c r="AE69" s="19"/>
      <c r="AF69" s="19"/>
      <c r="AG69" s="78"/>
      <c r="AH69" s="78"/>
      <c r="AI69" s="78"/>
      <c r="AJ69" s="78"/>
      <c r="AK69" s="19"/>
      <c r="AL69" s="19"/>
      <c r="AM69" s="19"/>
      <c r="AN69" s="19"/>
      <c r="AO69" s="19"/>
      <c r="AP69" s="78"/>
      <c r="AQ69" s="78"/>
      <c r="AR69"/>
      <c r="AS69"/>
      <c r="AT69"/>
      <c r="AU69"/>
      <c r="AV69"/>
      <c r="AW69"/>
      <c r="AX69"/>
      <c r="AY69"/>
      <c r="AZ69"/>
      <c r="BA69"/>
      <c r="BB69"/>
      <c r="BC69"/>
      <c r="BD69"/>
      <c r="BE69"/>
      <c r="BF69"/>
      <c r="BG69"/>
      <c r="BH69"/>
    </row>
    <row r="70" spans="2:60" s="51" customFormat="1" ht="15" customHeight="1" x14ac:dyDescent="0.35">
      <c r="B70" s="51" t="s">
        <v>124</v>
      </c>
      <c r="C70" s="119">
        <f>'B1. Road; distance distribution'!$C$87*('B2. Road; distance distribution'!C11/100*'B2. Road; distance distribution'!C41)+'B1. Road; distance distribution'!$C$87*('B2. Road; distance distribution'!C10/100*'B2. Road; distance distribution'!C42)+'B1. Road; distance distribution'!$C$87*('B2. Road; distance distribution'!C13/100*'B2. Road; distance distribution'!C43)+'B1. Road; distance distribution'!$D$125+('B1. Road; distance distribution'!$C$89/100*'B1. Road; distance distribution'!$C$88)*C14</f>
        <v>57.482040000000012</v>
      </c>
      <c r="D70" s="119">
        <f>'B1. Road; distance distribution'!$C$87*('B2. Road; distance distribution'!D11/100*'B2. Road; distance distribution'!D41)+'B1. Road; distance distribution'!$C$87*('B2. Road; distance distribution'!D10/100*'B2. Road; distance distribution'!D42)+'B1. Road; distance distribution'!$C$87*('B2. Road; distance distribution'!D13/100*'B2. Road; distance distribution'!D43)+'B1. Road; distance distribution'!$D$125+('B1. Road; distance distribution'!$C$89/100*'B1. Road; distance distribution'!$C$88)*D14</f>
        <v>107.04534000000001</v>
      </c>
      <c r="E70" s="119">
        <f>'B1. Road; distance distribution'!$C$87*('B2. Road; distance distribution'!E11/100*'B2. Road; distance distribution'!E41)+'B1. Road; distance distribution'!$C$87*('B2. Road; distance distribution'!E10/100*'B2. Road; distance distribution'!E42)+'B1. Road; distance distribution'!$C$87*('B2. Road; distance distribution'!E13/100*'B2. Road; distance distribution'!E43)+'B1. Road; distance distribution'!$D$125+('B1. Road; distance distribution'!$C$89/100*'B1. Road; distance distribution'!$C$88)*E14</f>
        <v>153.86292</v>
      </c>
      <c r="F70" s="119">
        <f>'B1. Road; distance distribution'!$C$87*('B2. Road; distance distribution'!F11/100*'B2. Road; distance distribution'!F41)+'B1. Road; distance distribution'!$C$87*('B2. Road; distance distribution'!F10/100*'B2. Road; distance distribution'!F42)+'B1. Road; distance distribution'!$C$87*('B2. Road; distance distribution'!F13/100*'B2. Road; distance distribution'!F43)+'B1. Road; distance distribution'!$D$125+('B1. Road; distance distribution'!$C$89/100*'B1. Road; distance distribution'!$C$88)*F14</f>
        <v>200.54478</v>
      </c>
      <c r="G70" s="119">
        <f>'B1. Road; distance distribution'!$C$87*('B2. Road; distance distribution'!G11/100*'B2. Road; distance distribution'!G41)+'B1. Road; distance distribution'!$C$87*('B2. Road; distance distribution'!G10/100*'B2. Road; distance distribution'!G42)+'B1. Road; distance distribution'!$C$87*('B2. Road; distance distribution'!G13/100*'B2. Road; distance distribution'!G43)+'B1. Road; distance distribution'!$D$125+('B1. Road; distance distribution'!$C$89/100*'B1. Road; distance distribution'!$C$88)*G14</f>
        <v>247.74864000000002</v>
      </c>
      <c r="H70" s="98"/>
      <c r="I70" s="98"/>
      <c r="J70" s="98"/>
      <c r="K70" s="98"/>
      <c r="L70" s="98"/>
      <c r="M70" s="98"/>
      <c r="N70" s="98"/>
      <c r="O70" s="98"/>
      <c r="P70" s="98"/>
      <c r="Q70" s="98"/>
      <c r="R70" s="78"/>
      <c r="S70" s="78"/>
      <c r="T70" s="78"/>
      <c r="Z70" s="78"/>
      <c r="AA70" s="78"/>
      <c r="AB70" s="78"/>
      <c r="AC70" s="78"/>
      <c r="AD70" s="78"/>
      <c r="AE70" s="78"/>
      <c r="AF70" s="78"/>
      <c r="AG70" s="78"/>
      <c r="AH70" s="78"/>
      <c r="AI70" s="78"/>
      <c r="AJ70" s="78"/>
      <c r="AK70" s="78"/>
      <c r="AL70" s="78"/>
      <c r="AM70" s="78"/>
      <c r="AN70" s="78"/>
      <c r="AO70" s="78"/>
      <c r="AP70" s="78"/>
      <c r="AQ70" s="78"/>
      <c r="AR70"/>
      <c r="AS70"/>
      <c r="AT70"/>
      <c r="AU70"/>
      <c r="AV70"/>
      <c r="AW70"/>
      <c r="AX70"/>
      <c r="AY70"/>
      <c r="AZ70"/>
      <c r="BA70"/>
      <c r="BB70"/>
      <c r="BC70"/>
      <c r="BD70"/>
      <c r="BE70"/>
      <c r="BF70"/>
      <c r="BG70"/>
    </row>
    <row r="71" spans="2:60" s="51" customFormat="1" ht="15" customHeight="1" x14ac:dyDescent="0.35">
      <c r="B71" s="51" t="s">
        <v>118</v>
      </c>
      <c r="C71" s="119">
        <f>SUM(C67:C70)</f>
        <v>265.9512781243518</v>
      </c>
      <c r="D71" s="119">
        <f>SUM(D67:D70)</f>
        <v>423.98637733297187</v>
      </c>
      <c r="E71" s="119">
        <f t="shared" ref="E71:G71" si="24">SUM(E67:E70)</f>
        <v>579.600124865971</v>
      </c>
      <c r="F71" s="119">
        <f t="shared" si="24"/>
        <v>734.99609956047311</v>
      </c>
      <c r="G71" s="119">
        <f t="shared" si="24"/>
        <v>889.5530857172256</v>
      </c>
      <c r="H71" s="98"/>
      <c r="I71" s="98"/>
      <c r="J71" s="98"/>
      <c r="K71" s="98"/>
      <c r="L71" s="98"/>
      <c r="M71" s="98"/>
      <c r="N71" s="98"/>
      <c r="O71" s="98"/>
      <c r="P71" s="98"/>
      <c r="Q71" s="98"/>
      <c r="Z71" s="78"/>
      <c r="AA71" s="78"/>
      <c r="AB71" s="78"/>
      <c r="AC71" s="78"/>
      <c r="AD71" s="78"/>
      <c r="AE71" s="78"/>
      <c r="AF71" s="78"/>
      <c r="AG71" s="78"/>
      <c r="AH71" s="78"/>
      <c r="AI71" s="78"/>
      <c r="AJ71" s="78"/>
      <c r="AK71" s="78"/>
      <c r="AL71" s="78"/>
      <c r="AM71" s="78"/>
      <c r="AN71" s="78"/>
      <c r="AO71" s="78"/>
      <c r="AP71" s="78"/>
      <c r="AQ71" s="78"/>
    </row>
    <row r="72" spans="2:60" s="51" customFormat="1" ht="13.75" customHeight="1" x14ac:dyDescent="0.35">
      <c r="B72" s="9"/>
      <c r="C72" s="153"/>
      <c r="D72" s="153"/>
      <c r="E72" s="153"/>
      <c r="F72" s="153"/>
      <c r="G72" s="153"/>
      <c r="H72" s="98"/>
      <c r="I72" s="98"/>
      <c r="J72" s="98"/>
      <c r="K72" s="98"/>
      <c r="L72" s="98"/>
      <c r="M72" s="98"/>
      <c r="N72" s="98"/>
      <c r="O72" s="98"/>
      <c r="P72" s="98"/>
      <c r="Q72" s="98"/>
      <c r="R72" s="98"/>
      <c r="S72" s="98"/>
      <c r="Z72" s="78"/>
      <c r="AA72" s="78"/>
      <c r="AB72" s="98"/>
      <c r="AC72" s="98"/>
      <c r="AD72" s="98"/>
      <c r="AE72" s="98"/>
      <c r="AF72" s="98"/>
      <c r="AG72" s="78"/>
      <c r="AH72" s="78"/>
      <c r="AI72" s="78"/>
      <c r="AJ72" s="78"/>
      <c r="AK72" s="98"/>
      <c r="AL72" s="98"/>
      <c r="AM72" s="98"/>
      <c r="AN72" s="98"/>
      <c r="AO72" s="98"/>
      <c r="AP72" s="78"/>
      <c r="AQ72" s="78"/>
    </row>
    <row r="73" spans="2:60" x14ac:dyDescent="0.35">
      <c r="B73" t="s">
        <v>207</v>
      </c>
      <c r="C73" s="120">
        <f>'B1. Road; distance distribution'!$C$114+'B1. Road; distance distribution'!$C$115+'B1. Road; distance distribution'!$C$117+'B1. Road; distance distribution'!$C$118</f>
        <v>0.49828987226447674</v>
      </c>
      <c r="D73" s="120">
        <f>'B1. Road; distance distribution'!$C$114+'B1. Road; distance distribution'!$C$115+'B1. Road; distance distribution'!$C$117+'B1. Road; distance distribution'!$C$118</f>
        <v>0.49828987226447674</v>
      </c>
      <c r="E73" s="120">
        <f>'B1. Road; distance distribution'!$C$114+'B1. Road; distance distribution'!$C$115+'B1. Road; distance distribution'!$C$117+'B1. Road; distance distribution'!$C$118</f>
        <v>0.49828987226447674</v>
      </c>
      <c r="F73" s="120">
        <f>'B1. Road; distance distribution'!$C$114+'B1. Road; distance distribution'!$C$115+'B1. Road; distance distribution'!$C$117+'B1. Road; distance distribution'!$C$118</f>
        <v>0.49828987226447674</v>
      </c>
      <c r="G73" s="120">
        <f>'B1. Road; distance distribution'!$C$114+'B1. Road; distance distribution'!$C$115+'B1. Road; distance distribution'!$C$117+'B1. Road; distance distribution'!$C$118</f>
        <v>0.49828987226447674</v>
      </c>
      <c r="H73" s="99"/>
      <c r="I73" s="99"/>
      <c r="J73" s="99"/>
      <c r="K73" s="99"/>
      <c r="L73" s="99"/>
      <c r="M73" s="99"/>
      <c r="N73" s="99"/>
      <c r="O73" s="99"/>
      <c r="P73" s="99"/>
      <c r="Q73" s="99"/>
      <c r="Z73" s="78"/>
      <c r="AA73" s="78"/>
      <c r="AB73" s="98"/>
      <c r="AC73" s="98"/>
      <c r="AD73" s="98"/>
      <c r="AE73" s="98"/>
      <c r="AF73" s="98"/>
      <c r="AG73" s="78"/>
      <c r="AH73" s="78"/>
      <c r="AI73" s="78"/>
      <c r="AJ73" s="78"/>
      <c r="AK73" s="98"/>
      <c r="AL73" s="98"/>
      <c r="AM73" s="98"/>
      <c r="AN73" s="98"/>
      <c r="AO73" s="98"/>
      <c r="AP73" s="78"/>
      <c r="AQ73" s="78"/>
      <c r="AR73" s="51"/>
      <c r="AS73" s="51"/>
      <c r="AT73" s="51"/>
      <c r="AU73" s="51"/>
      <c r="AV73" s="51"/>
      <c r="AW73" s="51"/>
      <c r="AX73" s="51"/>
      <c r="AY73" s="51"/>
      <c r="AZ73" s="51"/>
      <c r="BA73" s="51"/>
      <c r="BB73" s="51"/>
      <c r="BC73" s="51"/>
      <c r="BD73" s="51"/>
      <c r="BE73" s="51"/>
      <c r="BF73" s="51"/>
      <c r="BG73" s="51"/>
      <c r="BH73" s="51"/>
    </row>
    <row r="74" spans="2:60" x14ac:dyDescent="0.35">
      <c r="B74" s="51" t="s">
        <v>208</v>
      </c>
      <c r="C74" s="120">
        <f>C70/C14</f>
        <v>0.57482040000000012</v>
      </c>
      <c r="D74" s="120">
        <f>D70/D14</f>
        <v>0.53522670000000006</v>
      </c>
      <c r="E74" s="120">
        <f>E70/E14</f>
        <v>0.51287640000000001</v>
      </c>
      <c r="F74" s="120">
        <f>F70/F14</f>
        <v>0.50136195000000006</v>
      </c>
      <c r="G74" s="120">
        <f>G70/G14</f>
        <v>0.49549728000000004</v>
      </c>
      <c r="H74" s="99"/>
      <c r="I74" s="99"/>
      <c r="J74" s="99"/>
      <c r="K74" s="99"/>
      <c r="L74" s="99"/>
      <c r="M74" s="99"/>
      <c r="N74" s="99"/>
      <c r="O74" s="99"/>
      <c r="P74" s="99"/>
      <c r="Q74" s="99"/>
      <c r="Z74" s="78"/>
      <c r="AA74" s="78"/>
      <c r="AB74" s="78"/>
      <c r="AC74" s="78"/>
      <c r="AD74" s="78"/>
      <c r="AE74" s="78"/>
      <c r="AF74" s="78"/>
      <c r="AG74" s="78"/>
      <c r="AH74" s="78"/>
      <c r="AI74" s="78"/>
      <c r="AJ74" s="78"/>
      <c r="AK74" s="78"/>
      <c r="AL74" s="78"/>
      <c r="AM74" s="78"/>
      <c r="AN74" s="78"/>
      <c r="AO74" s="78"/>
      <c r="AP74" s="78"/>
      <c r="AQ74" s="78"/>
      <c r="AR74" s="51"/>
      <c r="AS74" s="51"/>
      <c r="AT74" s="51"/>
      <c r="AU74" s="51"/>
      <c r="AV74" s="51"/>
      <c r="AW74" s="51"/>
      <c r="AX74" s="51"/>
      <c r="AY74" s="51"/>
      <c r="AZ74" s="51"/>
      <c r="BA74" s="51"/>
      <c r="BB74" s="51"/>
      <c r="BC74" s="51"/>
      <c r="BD74" s="51"/>
      <c r="BE74" s="51"/>
      <c r="BF74" s="51"/>
      <c r="BG74" s="51"/>
    </row>
    <row r="75" spans="2:60" s="51" customFormat="1" x14ac:dyDescent="0.35">
      <c r="B75" s="9" t="s">
        <v>113</v>
      </c>
      <c r="C75" s="120">
        <f>C67/C14</f>
        <v>1.4066399615656613</v>
      </c>
      <c r="D75" s="120">
        <f>D67/D14</f>
        <v>0.99653404069369256</v>
      </c>
      <c r="E75" s="120">
        <f>E67/E14</f>
        <v>0.86091329481763312</v>
      </c>
      <c r="F75" s="120">
        <f>F67/F14</f>
        <v>0.79289778978336112</v>
      </c>
      <c r="G75" s="120">
        <f>G67/G14</f>
        <v>0.74936650968729845</v>
      </c>
      <c r="H75" s="99"/>
      <c r="I75" s="99"/>
      <c r="J75" s="99"/>
      <c r="K75" s="99"/>
      <c r="L75" s="99"/>
      <c r="M75" s="99"/>
      <c r="N75" s="99"/>
      <c r="O75" s="99"/>
      <c r="P75" s="99"/>
      <c r="Q75" s="99"/>
      <c r="Z75" s="78"/>
      <c r="AA75" s="78"/>
      <c r="AB75" s="78"/>
      <c r="AC75" s="78"/>
      <c r="AD75" s="78"/>
      <c r="AE75" s="78"/>
      <c r="AF75" s="78"/>
      <c r="AG75" s="78"/>
      <c r="AH75" s="78"/>
      <c r="AI75" s="78"/>
      <c r="AJ75" s="78"/>
      <c r="AK75" s="78"/>
      <c r="AL75" s="78"/>
      <c r="AM75" s="78"/>
      <c r="AN75" s="78"/>
      <c r="AO75" s="78"/>
      <c r="AP75" s="78"/>
      <c r="AQ75" s="78"/>
      <c r="AR75"/>
      <c r="AS75"/>
      <c r="AT75"/>
      <c r="AU75"/>
      <c r="AV75"/>
      <c r="AW75"/>
      <c r="AX75"/>
      <c r="AY75"/>
      <c r="AZ75"/>
      <c r="BA75"/>
      <c r="BB75"/>
      <c r="BC75"/>
      <c r="BD75"/>
      <c r="BE75"/>
      <c r="BF75"/>
      <c r="BG75"/>
      <c r="BH75"/>
    </row>
    <row r="76" spans="2:60" s="51" customFormat="1" x14ac:dyDescent="0.35">
      <c r="B76" s="9" t="s">
        <v>115</v>
      </c>
      <c r="C76" s="120">
        <f>C68/C14</f>
        <v>0.17976254741337971</v>
      </c>
      <c r="D76" s="120">
        <f>D68/D14</f>
        <v>8.9881273706689857E-2</v>
      </c>
      <c r="E76" s="120">
        <f>E68/E14</f>
        <v>5.992084913779324E-2</v>
      </c>
      <c r="F76" s="120">
        <f>F68/F14</f>
        <v>4.4940636853344929E-2</v>
      </c>
      <c r="G76" s="120">
        <f>G68/G14</f>
        <v>3.5952509482675941E-2</v>
      </c>
      <c r="H76" s="99"/>
      <c r="I76" s="99"/>
      <c r="J76" s="99"/>
      <c r="K76" s="99"/>
      <c r="L76" s="99"/>
      <c r="M76" s="99"/>
      <c r="N76" s="99"/>
      <c r="O76" s="99"/>
      <c r="P76" s="99"/>
      <c r="Q76" s="99"/>
      <c r="Z76" s="78"/>
      <c r="AA76" s="78"/>
      <c r="AB76" s="78"/>
      <c r="AC76" s="78"/>
      <c r="AD76" s="78"/>
      <c r="AE76" s="78"/>
      <c r="AF76" s="78"/>
      <c r="AG76" s="78"/>
      <c r="AH76" s="78"/>
      <c r="AI76" s="78"/>
      <c r="AJ76" s="78"/>
      <c r="AK76" s="78"/>
      <c r="AL76" s="78"/>
      <c r="AM76" s="78"/>
      <c r="AN76" s="78"/>
      <c r="AO76" s="78"/>
      <c r="AP76" s="78"/>
      <c r="AQ76" s="78"/>
      <c r="AR76"/>
      <c r="AS76"/>
      <c r="AT76"/>
      <c r="AU76"/>
      <c r="AV76"/>
      <c r="AW76"/>
      <c r="AX76"/>
      <c r="AY76"/>
      <c r="AZ76"/>
      <c r="BA76"/>
      <c r="BB76"/>
      <c r="BC76"/>
      <c r="BD76"/>
      <c r="BE76"/>
      <c r="BF76"/>
      <c r="BG76"/>
    </row>
    <row r="77" spans="2:60" s="51" customFormat="1" x14ac:dyDescent="0.35">
      <c r="B77" s="9" t="s">
        <v>117</v>
      </c>
      <c r="C77" s="120">
        <f>SUM(C73:C76)</f>
        <v>2.6595127812435182</v>
      </c>
      <c r="D77" s="120">
        <f t="shared" ref="D77:G77" si="25">SUM(D73:D76)</f>
        <v>2.1199318866648591</v>
      </c>
      <c r="E77" s="120">
        <f t="shared" si="25"/>
        <v>1.9320004162199031</v>
      </c>
      <c r="F77" s="120">
        <f t="shared" si="25"/>
        <v>1.8374902489011828</v>
      </c>
      <c r="G77" s="120">
        <f t="shared" si="25"/>
        <v>1.7791061714344512</v>
      </c>
      <c r="H77" s="99"/>
      <c r="I77" s="99"/>
      <c r="J77" s="99"/>
      <c r="K77" s="99"/>
      <c r="L77" s="99"/>
      <c r="M77" s="99"/>
      <c r="N77" s="99"/>
      <c r="O77" s="99"/>
      <c r="P77" s="99"/>
      <c r="Q77" s="99"/>
      <c r="Z77" s="78"/>
      <c r="AA77" s="78"/>
      <c r="AB77" s="78"/>
      <c r="AC77" s="78"/>
      <c r="AD77" s="78"/>
      <c r="AE77" s="78"/>
      <c r="AF77" s="78"/>
      <c r="AG77" s="78"/>
      <c r="AH77" s="78"/>
      <c r="AI77" s="78"/>
      <c r="AJ77" s="78"/>
      <c r="AK77" s="78"/>
      <c r="AL77" s="78"/>
      <c r="AM77" s="78"/>
      <c r="AN77" s="78"/>
      <c r="AO77" s="78"/>
      <c r="AP77" s="78"/>
      <c r="AQ77" s="78"/>
    </row>
    <row r="78" spans="2:60" ht="21" x14ac:dyDescent="0.5">
      <c r="C78" s="52" t="s">
        <v>100</v>
      </c>
      <c r="Z78" s="78"/>
      <c r="AA78" s="78"/>
      <c r="AB78" s="78"/>
      <c r="AC78" s="78"/>
      <c r="AD78" s="78"/>
      <c r="AE78" s="78"/>
      <c r="AF78" s="78"/>
      <c r="AG78" s="78"/>
      <c r="AH78" s="78"/>
      <c r="AI78" s="78"/>
      <c r="AJ78" s="78"/>
      <c r="AK78" s="78"/>
      <c r="AL78" s="78"/>
      <c r="AM78" s="78"/>
      <c r="AN78" s="78"/>
      <c r="AO78" s="78"/>
      <c r="AP78" s="78"/>
      <c r="AQ78" s="78"/>
      <c r="AR78" s="51"/>
      <c r="AS78" s="51"/>
      <c r="AT78" s="51"/>
      <c r="AU78" s="51"/>
      <c r="AV78" s="51"/>
      <c r="AW78" s="51"/>
      <c r="AX78" s="51"/>
      <c r="AY78" s="51"/>
      <c r="AZ78" s="51"/>
      <c r="BA78" s="51"/>
      <c r="BB78" s="51"/>
      <c r="BC78" s="51"/>
      <c r="BD78" s="51"/>
      <c r="BE78" s="51"/>
      <c r="BF78" s="51"/>
      <c r="BG78" s="51"/>
      <c r="BH78" s="51"/>
    </row>
    <row r="79" spans="2:60" s="51" customFormat="1" x14ac:dyDescent="0.35">
      <c r="B79" s="6" t="s">
        <v>46</v>
      </c>
      <c r="C79" s="151">
        <v>50</v>
      </c>
      <c r="D79" s="151">
        <v>100</v>
      </c>
      <c r="E79" s="151">
        <v>150</v>
      </c>
      <c r="F79" s="151">
        <v>200</v>
      </c>
      <c r="G79" s="151">
        <v>250</v>
      </c>
      <c r="H79" s="78"/>
      <c r="I79" s="78"/>
      <c r="J79" s="78"/>
      <c r="K79" s="78"/>
      <c r="L79" s="78"/>
      <c r="M79" s="78"/>
      <c r="N79" s="78"/>
      <c r="O79" s="78"/>
      <c r="P79" s="78"/>
      <c r="Q79" s="78"/>
      <c r="Z79" s="78"/>
      <c r="AA79" s="78"/>
      <c r="AB79" s="78"/>
      <c r="AC79" s="78"/>
      <c r="AD79" s="78"/>
      <c r="AE79" s="78"/>
      <c r="AF79" s="78"/>
      <c r="AG79" s="78"/>
      <c r="AH79" s="78"/>
      <c r="AI79" s="78"/>
      <c r="AJ79" s="78"/>
      <c r="AK79" s="78"/>
      <c r="AL79" s="78"/>
      <c r="AM79" s="78"/>
      <c r="AN79" s="78"/>
      <c r="AO79" s="78"/>
      <c r="AP79" s="78"/>
      <c r="AQ79" s="78"/>
      <c r="BH79"/>
    </row>
    <row r="80" spans="2:60" s="51" customFormat="1" x14ac:dyDescent="0.35">
      <c r="B80" s="18" t="s">
        <v>128</v>
      </c>
      <c r="C80" s="66">
        <f>C18</f>
        <v>377.10780043229084</v>
      </c>
      <c r="D80" s="66">
        <f>D18</f>
        <v>287.16175118279244</v>
      </c>
      <c r="E80" s="66">
        <f>E18</f>
        <v>86.477710638237625</v>
      </c>
      <c r="F80" s="66">
        <f>F18</f>
        <v>17.605471605187724</v>
      </c>
      <c r="G80" s="66">
        <f>G18</f>
        <v>3.7256374133058419</v>
      </c>
      <c r="H80" s="90"/>
      <c r="I80" s="90"/>
      <c r="J80" s="90"/>
      <c r="K80" s="90"/>
      <c r="L80" s="90"/>
      <c r="M80" s="90"/>
      <c r="N80" s="90"/>
      <c r="O80" s="90"/>
      <c r="P80" s="90"/>
      <c r="Q80" s="90"/>
      <c r="Z80" s="78"/>
      <c r="AA80" s="78"/>
      <c r="AB80" s="78"/>
      <c r="AC80" s="78"/>
      <c r="AD80" s="78"/>
      <c r="AE80" s="78"/>
      <c r="AF80" s="78"/>
      <c r="AG80" s="78"/>
      <c r="AH80" s="78"/>
      <c r="AI80" s="78"/>
      <c r="AJ80" s="78"/>
      <c r="AK80" s="78"/>
      <c r="AL80" s="78"/>
      <c r="AM80" s="78"/>
      <c r="AN80" s="78"/>
      <c r="AO80" s="78"/>
      <c r="AP80" s="78"/>
      <c r="AQ80" s="78"/>
      <c r="AR80"/>
      <c r="AS80"/>
      <c r="AT80"/>
      <c r="AU80"/>
      <c r="AV80"/>
      <c r="AW80"/>
      <c r="AX80"/>
      <c r="AY80"/>
      <c r="AZ80"/>
      <c r="BA80"/>
      <c r="BB80"/>
      <c r="BC80"/>
      <c r="BD80"/>
      <c r="BE80"/>
      <c r="BF80"/>
      <c r="BG80"/>
    </row>
    <row r="81" spans="2:60" x14ac:dyDescent="0.35">
      <c r="B81" s="8" t="s">
        <v>47</v>
      </c>
      <c r="C81" s="121">
        <f>C71</f>
        <v>265.9512781243518</v>
      </c>
      <c r="D81" s="121">
        <f t="shared" ref="D81:G81" si="26">D71</f>
        <v>423.98637733297187</v>
      </c>
      <c r="E81" s="121">
        <f t="shared" si="26"/>
        <v>579.600124865971</v>
      </c>
      <c r="F81" s="121">
        <f t="shared" si="26"/>
        <v>734.99609956047311</v>
      </c>
      <c r="G81" s="121">
        <f t="shared" si="26"/>
        <v>889.5530857172256</v>
      </c>
      <c r="H81" s="100"/>
      <c r="I81" s="100"/>
      <c r="J81" s="100"/>
      <c r="K81" s="100"/>
      <c r="L81" s="100"/>
      <c r="M81" s="100"/>
      <c r="N81" s="100"/>
      <c r="O81" s="100"/>
      <c r="P81" s="100"/>
      <c r="Q81" s="100"/>
      <c r="Z81" s="78"/>
      <c r="AA81" s="78"/>
      <c r="AB81" s="78"/>
      <c r="AC81" s="78"/>
      <c r="AD81" s="78"/>
      <c r="AE81" s="78"/>
      <c r="AF81" s="78"/>
      <c r="AG81" s="78"/>
      <c r="AH81" s="78"/>
      <c r="AI81" s="78"/>
      <c r="AJ81" s="78"/>
      <c r="AK81" s="78"/>
      <c r="AL81" s="78"/>
      <c r="AM81" s="78"/>
      <c r="AN81" s="78"/>
      <c r="AO81" s="78"/>
      <c r="AP81" s="78"/>
      <c r="AQ81" s="78"/>
      <c r="AR81" s="51"/>
      <c r="AS81" s="51"/>
      <c r="AT81" s="51"/>
      <c r="AU81" s="51"/>
      <c r="AV81" s="51"/>
      <c r="AW81" s="51"/>
      <c r="AX81" s="51"/>
      <c r="AY81" s="51"/>
      <c r="AZ81" s="51"/>
      <c r="BA81" s="51"/>
      <c r="BB81" s="51"/>
      <c r="BC81" s="51"/>
      <c r="BD81" s="51"/>
      <c r="BE81" s="51"/>
      <c r="BF81" s="51"/>
      <c r="BG81" s="51"/>
      <c r="BH81" s="51"/>
    </row>
    <row r="82" spans="2:60" x14ac:dyDescent="0.35">
      <c r="B82" s="8" t="s">
        <v>48</v>
      </c>
      <c r="C82" s="122">
        <f>C81/(C9*'B1. Road; distance distribution'!$C$12)</f>
        <v>0.12664346577350086</v>
      </c>
      <c r="D82" s="122">
        <f>D81/(D9*'B1. Road; distance distribution'!$C$12)</f>
        <v>0.1009491374602314</v>
      </c>
      <c r="E82" s="122">
        <f>E81/(E9*'B1. Road; distance distribution'!$C$12)</f>
        <v>9.2000019819995393E-2</v>
      </c>
      <c r="F82" s="122">
        <f>F81/(F9*'B1. Road; distance distribution'!$C$12)</f>
        <v>8.7499535661961086E-2</v>
      </c>
      <c r="G82" s="122">
        <f>G81/(G9*'B1. Road; distance distribution'!$C$12)</f>
        <v>8.4719341496878625E-2</v>
      </c>
      <c r="H82" s="101"/>
      <c r="I82" s="101"/>
      <c r="J82" s="101"/>
      <c r="K82" s="101"/>
      <c r="L82" s="101"/>
      <c r="M82" s="101"/>
      <c r="N82" s="101"/>
      <c r="O82" s="101"/>
      <c r="P82" s="101"/>
      <c r="Q82" s="101"/>
      <c r="Z82" s="78"/>
      <c r="AA82" s="78"/>
      <c r="AB82" s="78"/>
      <c r="AC82" s="78"/>
      <c r="AD82" s="78"/>
      <c r="AE82" s="78"/>
      <c r="AF82" s="78"/>
      <c r="AG82" s="78"/>
      <c r="AH82" s="78"/>
      <c r="AI82" s="78"/>
      <c r="AJ82" s="78"/>
      <c r="AK82" s="78"/>
      <c r="AL82" s="78"/>
      <c r="AM82" s="78"/>
      <c r="AN82" s="78"/>
      <c r="AO82" s="78"/>
      <c r="AP82" s="78"/>
      <c r="AQ82" s="78"/>
      <c r="AR82" s="51"/>
      <c r="AS82" s="51"/>
      <c r="AT82" s="51"/>
      <c r="AU82" s="51"/>
      <c r="AV82" s="51"/>
      <c r="AW82" s="51"/>
      <c r="AX82" s="51"/>
      <c r="AY82" s="51"/>
      <c r="AZ82" s="51"/>
      <c r="BA82" s="51"/>
      <c r="BB82" s="51"/>
      <c r="BC82" s="51"/>
      <c r="BD82" s="51"/>
      <c r="BE82" s="51"/>
      <c r="BF82" s="51"/>
      <c r="BG82" s="51"/>
    </row>
    <row r="83" spans="2:60" x14ac:dyDescent="0.35">
      <c r="B83" s="8" t="s">
        <v>49</v>
      </c>
      <c r="C83" s="122">
        <f>C81/'B1. Road; distance distribution'!$C$12</f>
        <v>6.332173288675043</v>
      </c>
      <c r="D83" s="122">
        <f>D81/'B1. Road; distance distribution'!$C$12</f>
        <v>10.09491374602314</v>
      </c>
      <c r="E83" s="122">
        <f>E81/'B1. Road; distance distribution'!$C$12</f>
        <v>13.800002972999309</v>
      </c>
      <c r="F83" s="122">
        <f>F81/'B1. Road; distance distribution'!$C$12</f>
        <v>17.499907132392217</v>
      </c>
      <c r="G83" s="122">
        <f>G81/'B1. Road; distance distribution'!$C$12</f>
        <v>21.179835374219657</v>
      </c>
      <c r="H83" s="101"/>
      <c r="I83" s="101"/>
      <c r="J83" s="101"/>
      <c r="K83" s="101"/>
      <c r="L83" s="101"/>
      <c r="M83" s="101"/>
      <c r="N83" s="101"/>
      <c r="O83" s="101"/>
      <c r="P83" s="101"/>
      <c r="Q83" s="101"/>
      <c r="Z83" s="78"/>
      <c r="AA83" s="78"/>
      <c r="AB83" s="78"/>
      <c r="AC83" s="78"/>
      <c r="AD83" s="78"/>
      <c r="AE83" s="78"/>
      <c r="AF83" s="78"/>
      <c r="AG83" s="78"/>
      <c r="AH83" s="78"/>
      <c r="AI83" s="78"/>
      <c r="AJ83" s="78"/>
      <c r="AK83" s="78"/>
      <c r="AL83" s="78"/>
      <c r="AM83" s="78"/>
      <c r="AN83" s="78"/>
      <c r="AO83" s="78"/>
      <c r="AP83" s="78"/>
      <c r="AQ83" s="78"/>
    </row>
    <row r="84" spans="2:60" x14ac:dyDescent="0.35">
      <c r="B84" s="19" t="s">
        <v>50</v>
      </c>
      <c r="C84" s="121">
        <f>C81/C50</f>
        <v>74.191012889093102</v>
      </c>
      <c r="D84" s="121">
        <f>D81/D50</f>
        <v>83.476059243448844</v>
      </c>
      <c r="E84" s="121">
        <f>E81/E50</f>
        <v>88.060261504268965</v>
      </c>
      <c r="F84" s="121">
        <f>F81/F50</f>
        <v>90.93687075346908</v>
      </c>
      <c r="G84" s="121">
        <f>G81/G50</f>
        <v>93.162204342209307</v>
      </c>
      <c r="H84" s="100"/>
      <c r="I84" s="100"/>
      <c r="J84" s="100"/>
      <c r="K84" s="100"/>
      <c r="L84" s="100"/>
      <c r="M84" s="100"/>
      <c r="N84" s="100"/>
      <c r="O84" s="100"/>
      <c r="P84" s="100"/>
      <c r="Q84" s="100"/>
      <c r="Z84" s="78"/>
      <c r="AA84" s="78"/>
      <c r="AB84" s="78"/>
      <c r="AC84" s="78"/>
      <c r="AD84" s="78"/>
      <c r="AE84" s="78"/>
      <c r="AF84" s="78"/>
      <c r="AG84" s="78"/>
      <c r="AH84" s="78"/>
      <c r="AI84" s="78"/>
      <c r="AJ84" s="78"/>
      <c r="AK84" s="78"/>
      <c r="AL84" s="78"/>
      <c r="AM84" s="78"/>
      <c r="AN84" s="78"/>
      <c r="AO84" s="78"/>
      <c r="AP84" s="78"/>
      <c r="AQ84" s="78"/>
    </row>
    <row r="85" spans="2:60" x14ac:dyDescent="0.35">
      <c r="B85" s="19" t="s">
        <v>119</v>
      </c>
      <c r="C85" s="121">
        <f>C81/C14</f>
        <v>2.6595127812435182</v>
      </c>
      <c r="D85" s="121">
        <f>D81/D14</f>
        <v>2.1199318866648595</v>
      </c>
      <c r="E85" s="121">
        <f>E81/E14</f>
        <v>1.9320004162199034</v>
      </c>
      <c r="F85" s="121">
        <f>F81/F14</f>
        <v>1.8374902489011828</v>
      </c>
      <c r="G85" s="121">
        <f>G81/G14</f>
        <v>1.7791061714344512</v>
      </c>
      <c r="H85" s="100"/>
      <c r="I85" s="100"/>
      <c r="J85" s="100"/>
      <c r="K85" s="100"/>
      <c r="L85" s="100"/>
      <c r="M85" s="100"/>
      <c r="N85" s="100"/>
      <c r="O85" s="100"/>
      <c r="P85" s="100"/>
      <c r="Q85" s="100"/>
      <c r="Z85" s="78"/>
      <c r="AA85" s="78"/>
      <c r="AB85" s="78"/>
      <c r="AC85" s="78"/>
      <c r="AD85" s="78"/>
      <c r="AE85" s="78"/>
      <c r="AF85" s="78"/>
      <c r="AG85" s="78"/>
      <c r="AH85" s="78"/>
      <c r="AI85" s="78"/>
      <c r="AJ85" s="78"/>
      <c r="AK85" s="78"/>
      <c r="AL85" s="78"/>
      <c r="AM85" s="78"/>
      <c r="AN85" s="78"/>
      <c r="AO85" s="78"/>
      <c r="AP85" s="78"/>
      <c r="AQ85" s="78"/>
    </row>
    <row r="86" spans="2:60" x14ac:dyDescent="0.35">
      <c r="B86" s="19" t="s">
        <v>120</v>
      </c>
      <c r="C86" s="121">
        <f>C81/C9</f>
        <v>5.3190255624870364</v>
      </c>
      <c r="D86" s="121">
        <f>D81/D9</f>
        <v>4.2398637733297191</v>
      </c>
      <c r="E86" s="121">
        <f>E81/E9</f>
        <v>3.8640008324398067</v>
      </c>
      <c r="F86" s="121">
        <f>F81/F9</f>
        <v>3.6749804978023657</v>
      </c>
      <c r="G86" s="121">
        <f>G81/G9</f>
        <v>3.5582123428689023</v>
      </c>
      <c r="H86" s="108" t="s">
        <v>131</v>
      </c>
      <c r="I86" s="100"/>
      <c r="J86" s="100"/>
      <c r="K86" s="100"/>
      <c r="L86" s="100"/>
      <c r="M86" s="100"/>
      <c r="N86" s="100"/>
      <c r="O86" s="100"/>
      <c r="P86" s="100"/>
      <c r="Q86" s="100"/>
      <c r="Z86" s="78"/>
      <c r="AA86" s="78"/>
      <c r="AB86" s="78"/>
      <c r="AC86" s="78"/>
      <c r="AD86" s="78"/>
      <c r="AE86" s="78"/>
      <c r="AF86" s="78"/>
      <c r="AG86" s="78"/>
      <c r="AH86" s="78"/>
      <c r="AI86" s="78"/>
      <c r="AJ86" s="78"/>
      <c r="AK86" s="78"/>
      <c r="AL86" s="78"/>
      <c r="AM86" s="78"/>
      <c r="AN86" s="78"/>
      <c r="AO86" s="78"/>
      <c r="AP86" s="78"/>
      <c r="AQ86" s="78"/>
    </row>
    <row r="87" spans="2:60" x14ac:dyDescent="0.35">
      <c r="B87" s="19" t="s">
        <v>121</v>
      </c>
      <c r="C87" s="123">
        <f>C81*C18</f>
        <v>100292.30151563074</v>
      </c>
      <c r="D87" s="123">
        <f>D81*D18</f>
        <v>121752.67059258441</v>
      </c>
      <c r="E87" s="123">
        <f>E81*E18</f>
        <v>50122.491884045834</v>
      </c>
      <c r="F87" s="123">
        <f>F81*F18</f>
        <v>12939.952960735638</v>
      </c>
      <c r="G87" s="123">
        <f>G81*G18</f>
        <v>3314.152257269754</v>
      </c>
      <c r="H87" s="105">
        <f>SUM(C87:G87)</f>
        <v>288421.5692102664</v>
      </c>
      <c r="J87" s="95"/>
      <c r="K87" s="95"/>
      <c r="L87" s="95"/>
      <c r="M87" s="95"/>
      <c r="N87" s="95"/>
      <c r="O87" s="95"/>
      <c r="P87" s="95"/>
      <c r="Q87" s="95"/>
      <c r="Z87" s="78"/>
      <c r="AA87" s="78"/>
      <c r="AB87" s="78"/>
      <c r="AC87" s="78"/>
      <c r="AD87" s="78"/>
      <c r="AE87" s="78"/>
      <c r="AF87" s="78"/>
      <c r="AG87" s="78"/>
      <c r="AH87" s="78"/>
      <c r="AI87" s="78"/>
      <c r="AJ87" s="78"/>
      <c r="AK87" s="78"/>
      <c r="AL87" s="78"/>
      <c r="AM87" s="78"/>
      <c r="AN87" s="78"/>
      <c r="AO87" s="78"/>
      <c r="AP87" s="78"/>
      <c r="AQ87" s="78"/>
    </row>
    <row r="88" spans="2:60" x14ac:dyDescent="0.35">
      <c r="B88" s="12"/>
      <c r="Z88" s="78"/>
      <c r="AA88" s="78"/>
      <c r="AB88" s="78"/>
      <c r="AC88" s="78"/>
      <c r="AD88" s="78"/>
      <c r="AE88" s="78"/>
      <c r="AF88" s="78"/>
      <c r="AG88" s="78"/>
      <c r="AH88" s="78"/>
      <c r="AI88" s="78"/>
      <c r="AJ88" s="78"/>
      <c r="AK88" s="78"/>
      <c r="AL88" s="78"/>
      <c r="AM88" s="78"/>
      <c r="AN88" s="78"/>
      <c r="AO88" s="78"/>
      <c r="AP88" s="78"/>
      <c r="AQ88" s="78"/>
    </row>
    <row r="89" spans="2:60" x14ac:dyDescent="0.35">
      <c r="B89" s="77" t="s">
        <v>106</v>
      </c>
      <c r="C89" s="84">
        <v>50</v>
      </c>
      <c r="D89" s="84">
        <v>100</v>
      </c>
      <c r="E89" s="84">
        <v>150</v>
      </c>
      <c r="F89" s="84">
        <v>200</v>
      </c>
      <c r="G89" s="84">
        <v>250</v>
      </c>
      <c r="Z89" s="78"/>
      <c r="AA89" s="78"/>
      <c r="AB89" s="78"/>
      <c r="AC89" s="78"/>
      <c r="AD89" s="78"/>
      <c r="AE89" s="78"/>
      <c r="AF89" s="78"/>
      <c r="AG89" s="78"/>
      <c r="AH89" s="78"/>
      <c r="AI89" s="78"/>
      <c r="AJ89" s="78"/>
      <c r="AK89" s="78"/>
      <c r="AL89" s="78"/>
      <c r="AM89" s="78"/>
      <c r="AN89" s="78"/>
      <c r="AO89" s="78"/>
      <c r="AP89" s="78"/>
      <c r="AQ89" s="78"/>
    </row>
    <row r="90" spans="2:60" x14ac:dyDescent="0.35">
      <c r="B90" s="124" t="s">
        <v>125</v>
      </c>
      <c r="C90" s="176">
        <v>6.75</v>
      </c>
      <c r="D90" s="176">
        <v>10.46</v>
      </c>
      <c r="E90" s="176">
        <v>14.170000000000002</v>
      </c>
      <c r="F90" s="176">
        <v>17.880000000000003</v>
      </c>
      <c r="G90" s="176">
        <v>21.590000000000003</v>
      </c>
      <c r="H90" s="19"/>
      <c r="I90" s="19"/>
      <c r="J90" s="19"/>
      <c r="K90" s="19"/>
      <c r="L90" s="19"/>
      <c r="M90" s="19"/>
      <c r="N90" s="19"/>
      <c r="O90" s="19"/>
      <c r="P90" s="19"/>
      <c r="Q90" s="19"/>
      <c r="Z90" s="78"/>
      <c r="AA90" s="78"/>
      <c r="AB90" s="78"/>
      <c r="AC90" s="78"/>
      <c r="AD90" s="78"/>
      <c r="AE90" s="78"/>
      <c r="AF90" s="78"/>
      <c r="AG90" s="78"/>
      <c r="AH90" s="78"/>
      <c r="AI90" s="78"/>
      <c r="AJ90" s="78"/>
      <c r="AK90" s="78"/>
      <c r="AL90" s="78"/>
      <c r="AM90" s="78"/>
      <c r="AN90" s="78"/>
      <c r="AO90" s="78"/>
      <c r="AP90" s="78"/>
      <c r="AQ90" s="78"/>
    </row>
    <row r="91" spans="2:60" x14ac:dyDescent="0.35">
      <c r="B91" s="68" t="s">
        <v>181</v>
      </c>
      <c r="C91" s="120">
        <f>C83</f>
        <v>6.332173288675043</v>
      </c>
      <c r="D91" s="120">
        <f t="shared" ref="D91:G91" si="27">D83</f>
        <v>10.09491374602314</v>
      </c>
      <c r="E91" s="120">
        <f t="shared" si="27"/>
        <v>13.800002972999309</v>
      </c>
      <c r="F91" s="120">
        <f t="shared" si="27"/>
        <v>17.499907132392217</v>
      </c>
      <c r="G91" s="120">
        <f t="shared" si="27"/>
        <v>21.179835374219657</v>
      </c>
      <c r="H91" s="99"/>
      <c r="I91" s="99"/>
      <c r="J91" s="99"/>
      <c r="K91" s="99"/>
      <c r="L91" s="99"/>
      <c r="M91" s="99"/>
      <c r="N91" s="99"/>
      <c r="O91" s="99"/>
      <c r="P91" s="99"/>
      <c r="Q91" s="99"/>
      <c r="Z91" s="78"/>
      <c r="AA91" s="78"/>
      <c r="AB91" s="78"/>
      <c r="AC91" s="78"/>
      <c r="AD91" s="78"/>
      <c r="AE91" s="78"/>
      <c r="AF91" s="78"/>
      <c r="AG91" s="78"/>
      <c r="AH91" s="78"/>
      <c r="AI91" s="78"/>
      <c r="AJ91" s="78"/>
      <c r="AK91" s="78"/>
      <c r="AL91" s="78"/>
      <c r="AM91" s="78"/>
      <c r="AN91" s="78"/>
      <c r="AO91" s="78"/>
      <c r="AP91" s="78"/>
      <c r="AQ91" s="78"/>
    </row>
    <row r="92" spans="2:60" x14ac:dyDescent="0.35">
      <c r="B92" s="68" t="s">
        <v>126</v>
      </c>
      <c r="C92" s="120">
        <f>IF(IFERROR(C91,0)=0,0,C90-C91)</f>
        <v>0.41782671132495697</v>
      </c>
      <c r="D92" s="120">
        <f>IF(IFERROR(D91,0)=0,0,D90-D91)</f>
        <v>0.36508625397686068</v>
      </c>
      <c r="E92" s="120">
        <f t="shared" ref="E92:G92" si="28">IF(IFERROR(E91,0)=0,0,E90-E91)</f>
        <v>0.36999702700069292</v>
      </c>
      <c r="F92" s="120">
        <f t="shared" si="28"/>
        <v>0.38009286760778593</v>
      </c>
      <c r="G92" s="120">
        <f t="shared" si="28"/>
        <v>0.41016462578034663</v>
      </c>
      <c r="H92" s="99"/>
      <c r="I92" s="99"/>
      <c r="J92" s="99"/>
      <c r="K92" s="99"/>
      <c r="L92" s="99"/>
      <c r="M92" s="99"/>
      <c r="N92" s="99"/>
      <c r="O92" s="99"/>
      <c r="P92" s="99"/>
      <c r="Q92" s="99"/>
      <c r="Z92" s="78"/>
      <c r="AA92" s="78"/>
      <c r="AB92" s="78"/>
      <c r="AC92" s="78"/>
      <c r="AD92" s="78"/>
      <c r="AE92" s="78"/>
      <c r="AF92" s="78"/>
      <c r="AG92" s="78"/>
      <c r="AH92" s="78"/>
      <c r="AI92" s="78"/>
      <c r="AJ92" s="78"/>
      <c r="AK92" s="78"/>
      <c r="AL92" s="78"/>
      <c r="AM92" s="78"/>
      <c r="AN92" s="78"/>
      <c r="AO92" s="78"/>
      <c r="AP92" s="78"/>
      <c r="AQ92" s="78"/>
    </row>
    <row r="93" spans="2:60" x14ac:dyDescent="0.35">
      <c r="B93" s="12"/>
      <c r="E93" s="51"/>
      <c r="F93" s="51"/>
      <c r="G93" s="51"/>
      <c r="Z93" s="78"/>
      <c r="AA93" s="78"/>
      <c r="AB93" s="78"/>
      <c r="AC93" s="78"/>
      <c r="AD93" s="78"/>
      <c r="AE93" s="78"/>
      <c r="AF93" s="78"/>
      <c r="AG93" s="78"/>
      <c r="AH93" s="78"/>
      <c r="AI93" s="78"/>
      <c r="AJ93" s="78"/>
      <c r="AK93" s="78"/>
      <c r="AL93" s="78"/>
      <c r="AM93" s="78"/>
      <c r="AN93" s="78"/>
      <c r="AO93" s="78"/>
      <c r="AP93" s="78"/>
      <c r="AQ93" s="78"/>
    </row>
    <row r="94" spans="2:60" x14ac:dyDescent="0.35">
      <c r="B94" s="67" t="s">
        <v>127</v>
      </c>
      <c r="C94" s="146">
        <f>C92*C56</f>
        <v>6617.7599069237149</v>
      </c>
      <c r="D94" s="146">
        <f>D92*D56</f>
        <v>4403.2299370399633</v>
      </c>
      <c r="E94" s="146">
        <f>E92*E56</f>
        <v>1343.8528251949128</v>
      </c>
      <c r="F94" s="146">
        <f>F92*F56</f>
        <v>281.05199589613659</v>
      </c>
      <c r="G94" s="146">
        <f>G92*G56</f>
        <v>64.181236367717659</v>
      </c>
      <c r="H94"/>
      <c r="I94" s="91"/>
      <c r="J94" s="91"/>
      <c r="K94" s="91"/>
      <c r="L94" s="91"/>
      <c r="M94" s="91"/>
      <c r="N94" s="91"/>
      <c r="O94" s="91"/>
      <c r="P94" s="91"/>
      <c r="Q94" s="91"/>
      <c r="Z94" s="78"/>
      <c r="AA94" s="78"/>
      <c r="AB94" s="78"/>
      <c r="AC94" s="78"/>
      <c r="AD94" s="78"/>
      <c r="AE94" s="78"/>
      <c r="AF94" s="78"/>
      <c r="AG94" s="78"/>
      <c r="AH94" s="78"/>
      <c r="AI94" s="78"/>
      <c r="AJ94" s="78"/>
      <c r="AK94" s="78"/>
      <c r="AL94" s="78"/>
      <c r="AM94" s="78"/>
      <c r="AN94" s="78"/>
      <c r="AO94" s="78"/>
      <c r="AP94" s="78"/>
      <c r="AQ94" s="78"/>
    </row>
    <row r="95" spans="2:60" x14ac:dyDescent="0.35">
      <c r="B95" s="67" t="s">
        <v>129</v>
      </c>
      <c r="C95" s="119">
        <f>C94/C18</f>
        <v>17.548721875648191</v>
      </c>
      <c r="D95" s="119">
        <f>D94/D18</f>
        <v>15.333622667028148</v>
      </c>
      <c r="E95" s="119">
        <f>E94/E18</f>
        <v>15.539875134029103</v>
      </c>
      <c r="F95" s="119">
        <f>F94/F18</f>
        <v>15.963900439527009</v>
      </c>
      <c r="G95" s="119">
        <f>G94/G18</f>
        <v>17.226914282774555</v>
      </c>
      <c r="H95" s="98"/>
      <c r="I95" s="98"/>
      <c r="J95" s="98"/>
      <c r="K95" s="98"/>
      <c r="L95" s="98"/>
      <c r="M95" s="98"/>
      <c r="N95" s="98"/>
      <c r="O95" s="98"/>
      <c r="P95" s="98"/>
      <c r="Q95" s="98"/>
      <c r="Z95" s="78"/>
      <c r="AA95" s="78"/>
      <c r="AB95" s="78"/>
      <c r="AC95" s="78"/>
      <c r="AD95" s="78"/>
      <c r="AE95" s="78"/>
      <c r="AF95" s="78"/>
      <c r="AG95" s="78"/>
      <c r="AH95" s="78"/>
      <c r="AI95" s="78"/>
      <c r="AJ95" s="78"/>
      <c r="AK95" s="78"/>
      <c r="AL95" s="78"/>
      <c r="AM95" s="78"/>
      <c r="AN95" s="78"/>
      <c r="AO95" s="78"/>
      <c r="AP95" s="78"/>
      <c r="AQ95" s="78"/>
    </row>
    <row r="96" spans="2:60" x14ac:dyDescent="0.35">
      <c r="B96" s="69" t="s">
        <v>158</v>
      </c>
      <c r="C96" s="123">
        <f>SUM(C94:G94)</f>
        <v>12710.075901422446</v>
      </c>
      <c r="D96" s="51"/>
      <c r="Z96" s="78"/>
      <c r="AA96" s="78"/>
      <c r="AB96" s="78"/>
      <c r="AC96" s="78"/>
      <c r="AD96" s="78"/>
      <c r="AE96" s="78"/>
      <c r="AF96" s="78"/>
      <c r="AG96" s="78"/>
      <c r="AH96" s="78"/>
      <c r="AI96" s="78"/>
      <c r="AJ96" s="78"/>
      <c r="AK96" s="78"/>
      <c r="AL96" s="78"/>
      <c r="AM96" s="78"/>
      <c r="AN96" s="78"/>
      <c r="AO96" s="78"/>
      <c r="AP96" s="78"/>
      <c r="AQ96" s="78"/>
    </row>
    <row r="97" spans="2:23" x14ac:dyDescent="0.35">
      <c r="B97" s="69"/>
      <c r="C97" s="100"/>
    </row>
    <row r="99" spans="2:23" x14ac:dyDescent="0.35">
      <c r="H99" s="77" t="s">
        <v>130</v>
      </c>
    </row>
    <row r="100" spans="2:23" x14ac:dyDescent="0.35">
      <c r="B100" s="131" t="s">
        <v>162</v>
      </c>
      <c r="C100" s="159">
        <f>C56*C90</f>
        <v>106910.06142255446</v>
      </c>
      <c r="D100" s="159">
        <f>D56*D90</f>
        <v>126155.90052962438</v>
      </c>
      <c r="E100" s="159">
        <f>E56*E90</f>
        <v>51466.344709240744</v>
      </c>
      <c r="F100" s="159">
        <f>F56*F90</f>
        <v>13221.004956631774</v>
      </c>
      <c r="G100" s="159">
        <f>G56*G90</f>
        <v>3378.3334936374717</v>
      </c>
      <c r="H100" s="123">
        <f>SUM(C100:G100)</f>
        <v>301131.64511168876</v>
      </c>
      <c r="I100" s="80" t="s">
        <v>164</v>
      </c>
    </row>
    <row r="101" spans="2:23" x14ac:dyDescent="0.35">
      <c r="G101" s="131" t="s">
        <v>157</v>
      </c>
      <c r="H101" s="123">
        <f>H87</f>
        <v>288421.5692102664</v>
      </c>
      <c r="I101" s="80" t="s">
        <v>164</v>
      </c>
      <c r="Q101" s="102"/>
    </row>
    <row r="102" spans="2:23" x14ac:dyDescent="0.35">
      <c r="G102" s="131" t="s">
        <v>165</v>
      </c>
      <c r="H102" s="123">
        <f>H100-H101</f>
        <v>12710.075901422359</v>
      </c>
      <c r="I102" s="80" t="s">
        <v>164</v>
      </c>
      <c r="Q102" s="102"/>
    </row>
    <row r="103" spans="2:23" x14ac:dyDescent="0.35">
      <c r="G103" s="131" t="s">
        <v>163</v>
      </c>
      <c r="H103" s="121">
        <f>H102/H100*100</f>
        <v>4.2207705858041695</v>
      </c>
      <c r="I103" s="80" t="s">
        <v>132</v>
      </c>
    </row>
    <row r="104" spans="2:23" x14ac:dyDescent="0.35">
      <c r="H104" s="97"/>
    </row>
    <row r="105" spans="2:23" x14ac:dyDescent="0.35">
      <c r="H105" s="89"/>
      <c r="J105" s="101"/>
      <c r="K105" s="101"/>
      <c r="L105" s="101"/>
      <c r="M105" s="101"/>
      <c r="N105" s="101"/>
      <c r="O105" s="101"/>
      <c r="P105" s="101"/>
    </row>
    <row r="106" spans="2:23" x14ac:dyDescent="0.35">
      <c r="J106" s="101"/>
      <c r="K106" s="101"/>
      <c r="L106" s="101"/>
      <c r="M106" s="101"/>
      <c r="N106" s="101"/>
      <c r="O106" s="101"/>
      <c r="P106" s="101"/>
    </row>
    <row r="107" spans="2:23" x14ac:dyDescent="0.35">
      <c r="J107" s="101"/>
      <c r="K107" s="101"/>
      <c r="L107" s="101"/>
      <c r="M107" s="101"/>
      <c r="N107" s="101"/>
      <c r="O107" s="101"/>
      <c r="P107" s="101"/>
    </row>
    <row r="108" spans="2:23" x14ac:dyDescent="0.35">
      <c r="J108" s="101"/>
      <c r="K108" s="101"/>
      <c r="L108" s="101"/>
      <c r="M108" s="101"/>
      <c r="N108" s="101"/>
      <c r="O108" s="101"/>
      <c r="P108" s="101"/>
    </row>
    <row r="109" spans="2:23" x14ac:dyDescent="0.35">
      <c r="J109" s="101"/>
      <c r="K109" s="101"/>
      <c r="L109" s="101"/>
      <c r="M109" s="101"/>
      <c r="N109" s="101"/>
      <c r="O109" s="101"/>
      <c r="P109" s="101"/>
    </row>
    <row r="110" spans="2:23" x14ac:dyDescent="0.35">
      <c r="B110" s="78"/>
      <c r="C110" s="78"/>
      <c r="D110" s="78"/>
      <c r="E110" s="78"/>
      <c r="F110" s="78"/>
      <c r="G110" s="78"/>
      <c r="R110" s="78"/>
      <c r="S110" s="78"/>
      <c r="T110" s="78"/>
      <c r="U110" s="78"/>
      <c r="V110" s="78"/>
      <c r="W110" s="78"/>
    </row>
    <row r="111" spans="2:23" x14ac:dyDescent="0.35">
      <c r="B111" s="78"/>
      <c r="C111" s="78"/>
      <c r="D111" s="78"/>
      <c r="E111" s="78"/>
      <c r="F111" s="78"/>
      <c r="G111" s="78"/>
      <c r="R111" s="78"/>
      <c r="S111" s="78"/>
      <c r="T111" s="78"/>
      <c r="U111" s="78"/>
      <c r="V111" s="78"/>
      <c r="W111" s="78"/>
    </row>
    <row r="112" spans="2:23" x14ac:dyDescent="0.35">
      <c r="B112" s="78"/>
      <c r="C112" s="78"/>
      <c r="D112" s="78"/>
      <c r="E112" s="78"/>
      <c r="F112" s="78"/>
      <c r="G112" s="78"/>
      <c r="R112" s="78"/>
      <c r="S112" s="78"/>
      <c r="T112" s="78"/>
      <c r="U112" s="78"/>
      <c r="V112" s="78"/>
      <c r="W112" s="78"/>
    </row>
    <row r="113" spans="2:60" x14ac:dyDescent="0.35">
      <c r="B113" s="78"/>
      <c r="C113" s="78"/>
      <c r="D113" s="78"/>
      <c r="E113" s="78"/>
      <c r="F113" s="78"/>
      <c r="G113" s="78"/>
      <c r="R113" s="78"/>
      <c r="S113" s="78"/>
      <c r="T113" s="78"/>
      <c r="U113" s="78"/>
      <c r="V113" s="78"/>
      <c r="W113" s="78"/>
    </row>
    <row r="114" spans="2:60" x14ac:dyDescent="0.35">
      <c r="B114" s="78"/>
      <c r="C114" s="78"/>
      <c r="D114" s="78"/>
      <c r="E114" s="78"/>
      <c r="F114" s="78"/>
      <c r="G114" s="78"/>
      <c r="R114" s="78"/>
      <c r="S114" s="78"/>
      <c r="T114" s="78"/>
      <c r="U114" s="78"/>
      <c r="V114" s="78"/>
      <c r="W114" s="78"/>
    </row>
    <row r="115" spans="2:60" x14ac:dyDescent="0.35">
      <c r="B115" s="78"/>
      <c r="C115" s="78"/>
      <c r="D115" s="78"/>
      <c r="E115" s="78"/>
      <c r="F115" s="78"/>
      <c r="G115" s="78"/>
      <c r="R115" s="78"/>
      <c r="S115" s="78"/>
      <c r="T115" s="78"/>
      <c r="U115" s="78"/>
      <c r="V115" s="78"/>
      <c r="W115" s="78"/>
    </row>
    <row r="116" spans="2:60" x14ac:dyDescent="0.35">
      <c r="B116" s="78"/>
      <c r="C116" s="78"/>
      <c r="D116" s="78"/>
      <c r="E116" s="78"/>
      <c r="F116" s="78"/>
      <c r="G116" s="78"/>
      <c r="R116" s="78"/>
      <c r="S116" s="78"/>
      <c r="T116" s="78"/>
      <c r="U116" s="78"/>
      <c r="V116" s="78"/>
      <c r="W116" s="78"/>
    </row>
    <row r="117" spans="2:60" s="51" customFormat="1" x14ac:dyDescent="0.35">
      <c r="B117" s="78"/>
      <c r="C117" s="80"/>
      <c r="D117" s="78"/>
      <c r="E117" s="78"/>
      <c r="F117" s="78"/>
      <c r="G117" s="78"/>
      <c r="H117" s="78"/>
      <c r="I117" s="78"/>
      <c r="J117" s="78"/>
      <c r="K117" s="78"/>
      <c r="L117" s="78"/>
      <c r="M117" s="78"/>
      <c r="N117" s="78"/>
      <c r="O117" s="78"/>
      <c r="P117" s="78"/>
      <c r="Q117" s="78"/>
      <c r="R117" s="78"/>
      <c r="S117" s="78"/>
      <c r="T117" s="80"/>
      <c r="U117" s="78"/>
      <c r="V117" s="78"/>
      <c r="W117" s="78"/>
      <c r="AP117"/>
      <c r="AQ117"/>
      <c r="AR117"/>
      <c r="AS117"/>
      <c r="AT117"/>
      <c r="AU117"/>
      <c r="AV117"/>
      <c r="AW117"/>
      <c r="AX117"/>
      <c r="AY117"/>
      <c r="AZ117"/>
      <c r="BA117"/>
      <c r="BB117"/>
      <c r="BC117"/>
      <c r="BD117"/>
      <c r="BE117"/>
      <c r="BF117"/>
      <c r="BG117"/>
      <c r="BH117"/>
    </row>
    <row r="118" spans="2:60" x14ac:dyDescent="0.35">
      <c r="B118" s="78"/>
      <c r="C118" s="125"/>
      <c r="D118" s="101"/>
      <c r="E118" s="101"/>
      <c r="F118" s="101"/>
      <c r="G118" s="101"/>
      <c r="H118" s="101"/>
      <c r="I118" s="101"/>
      <c r="Q118" s="101"/>
      <c r="R118" s="101"/>
      <c r="S118" s="100"/>
      <c r="T118" s="78"/>
      <c r="U118" s="78"/>
      <c r="V118" s="78"/>
      <c r="W118" s="78"/>
      <c r="BH118" s="51"/>
    </row>
    <row r="119" spans="2:60" x14ac:dyDescent="0.35">
      <c r="B119" s="78"/>
      <c r="C119" s="125"/>
      <c r="D119" s="101"/>
      <c r="E119" s="101"/>
      <c r="F119" s="101"/>
      <c r="G119" s="101"/>
      <c r="H119" s="101"/>
      <c r="I119" s="101"/>
      <c r="Q119" s="101"/>
      <c r="R119" s="101"/>
      <c r="S119" s="100"/>
      <c r="T119" s="78"/>
      <c r="U119" s="78"/>
      <c r="V119" s="78"/>
      <c r="W119" s="78"/>
      <c r="AP119" s="51"/>
      <c r="AQ119" s="51"/>
      <c r="AR119" s="51"/>
      <c r="AS119" s="51"/>
      <c r="AT119" s="51"/>
      <c r="AU119" s="51"/>
      <c r="AV119" s="51"/>
      <c r="AW119" s="51"/>
      <c r="AX119" s="51"/>
      <c r="AY119" s="51"/>
      <c r="AZ119" s="51"/>
      <c r="BA119" s="51"/>
      <c r="BB119" s="51"/>
      <c r="BC119" s="51"/>
      <c r="BD119" s="51"/>
      <c r="BE119" s="51"/>
      <c r="BF119" s="51"/>
      <c r="BG119" s="51"/>
    </row>
    <row r="120" spans="2:60" x14ac:dyDescent="0.35">
      <c r="B120" s="80"/>
      <c r="C120" s="125"/>
      <c r="D120" s="101"/>
      <c r="E120" s="101"/>
      <c r="F120" s="101"/>
      <c r="G120" s="101"/>
      <c r="H120" s="101"/>
      <c r="I120" s="101"/>
      <c r="Q120" s="101"/>
      <c r="R120" s="101"/>
      <c r="S120" s="100"/>
      <c r="T120" s="78"/>
      <c r="U120" s="78"/>
      <c r="V120" s="78"/>
      <c r="W120" s="78"/>
    </row>
    <row r="121" spans="2:60" x14ac:dyDescent="0.35">
      <c r="B121" s="78"/>
      <c r="C121" s="125"/>
      <c r="D121" s="101"/>
      <c r="E121" s="101"/>
      <c r="F121" s="101"/>
      <c r="G121" s="101"/>
      <c r="H121" s="101"/>
      <c r="I121" s="101"/>
      <c r="Q121" s="101"/>
      <c r="R121" s="101"/>
      <c r="S121" s="100"/>
      <c r="T121" s="78"/>
      <c r="U121" s="78"/>
      <c r="V121" s="78"/>
      <c r="W121" s="78"/>
    </row>
    <row r="122" spans="2:60" x14ac:dyDescent="0.35">
      <c r="B122" s="78"/>
      <c r="C122" s="125"/>
      <c r="D122" s="101"/>
      <c r="E122" s="101"/>
      <c r="F122" s="101"/>
      <c r="G122" s="101"/>
      <c r="H122" s="101"/>
      <c r="I122" s="101"/>
      <c r="Q122" s="101"/>
      <c r="R122" s="101"/>
      <c r="S122" s="100"/>
      <c r="T122" s="78"/>
      <c r="U122" s="78"/>
      <c r="V122" s="78"/>
      <c r="W122" s="78"/>
    </row>
    <row r="123" spans="2:60" x14ac:dyDescent="0.35">
      <c r="B123" s="78"/>
      <c r="C123" s="78"/>
      <c r="D123" s="78"/>
      <c r="E123" s="78"/>
      <c r="F123" s="78"/>
      <c r="G123" s="78"/>
      <c r="R123" s="78"/>
      <c r="S123" s="78"/>
      <c r="T123" s="78"/>
      <c r="U123" s="78"/>
      <c r="V123" s="78"/>
      <c r="W123" s="78"/>
    </row>
    <row r="124" spans="2:60" x14ac:dyDescent="0.35">
      <c r="B124" s="78"/>
      <c r="C124" s="78"/>
      <c r="D124" s="78"/>
      <c r="E124" s="78"/>
      <c r="F124" s="78"/>
      <c r="G124" s="78"/>
      <c r="R124" s="78"/>
      <c r="S124" s="78"/>
      <c r="T124" s="78"/>
      <c r="U124" s="78"/>
      <c r="V124" s="78"/>
      <c r="W124" s="78"/>
    </row>
    <row r="125" spans="2:60" x14ac:dyDescent="0.35">
      <c r="B125" s="78"/>
      <c r="C125" s="78"/>
      <c r="D125" s="78"/>
      <c r="E125" s="78"/>
      <c r="F125" s="78"/>
      <c r="G125" s="78"/>
      <c r="R125" s="78"/>
      <c r="S125" s="78"/>
      <c r="T125" s="78"/>
      <c r="U125" s="78"/>
      <c r="V125" s="78"/>
      <c r="W125" s="78"/>
    </row>
    <row r="126" spans="2:60" x14ac:dyDescent="0.35">
      <c r="B126" s="78"/>
      <c r="C126" s="78"/>
      <c r="D126" s="78"/>
      <c r="E126" s="78"/>
      <c r="F126" s="78"/>
      <c r="G126" s="78"/>
      <c r="R126" s="78"/>
      <c r="S126" s="78"/>
      <c r="T126" s="78"/>
      <c r="U126" s="78"/>
      <c r="V126" s="78"/>
      <c r="W126" s="78"/>
    </row>
    <row r="127" spans="2:60" x14ac:dyDescent="0.35">
      <c r="B127" s="78"/>
      <c r="C127" s="78"/>
      <c r="D127" s="78"/>
      <c r="E127" s="78"/>
      <c r="F127" s="78"/>
      <c r="G127" s="78"/>
      <c r="R127" s="78"/>
      <c r="S127" s="78"/>
      <c r="T127" s="78"/>
      <c r="U127" s="78"/>
      <c r="V127" s="78"/>
      <c r="W127" s="78"/>
    </row>
  </sheetData>
  <pageMargins left="0.7" right="0.7" top="0.75" bottom="0.75" header="0.3" footer="0.3"/>
  <pageSetup paperSize="9" orientation="portrait" verticalDpi="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849F1-5C73-40B8-917E-0FA4F44A6D70}">
  <dimension ref="A1:X136"/>
  <sheetViews>
    <sheetView zoomScale="90" zoomScaleNormal="90" workbookViewId="0">
      <selection activeCell="B2" sqref="B2"/>
    </sheetView>
  </sheetViews>
  <sheetFormatPr defaultColWidth="11.54296875" defaultRowHeight="14.5" x14ac:dyDescent="0.35"/>
  <cols>
    <col min="1" max="1" width="68.36328125" style="184" customWidth="1"/>
    <col min="2" max="2" width="15.6328125" style="184" customWidth="1"/>
    <col min="3" max="3" width="11.54296875" style="184"/>
    <col min="4" max="4" width="53" style="184" customWidth="1"/>
    <col min="5" max="5" width="16.54296875" style="184" customWidth="1"/>
    <col min="6" max="6" width="15.453125" style="184" customWidth="1"/>
    <col min="7" max="10" width="16.81640625" style="184" customWidth="1"/>
    <col min="11" max="11" width="14.54296875" style="184" bestFit="1" customWidth="1"/>
    <col min="12" max="12" width="14.1796875" style="184" customWidth="1"/>
    <col min="13" max="13" width="11.54296875" style="184"/>
    <col min="14" max="14" width="13" style="184" customWidth="1"/>
    <col min="15" max="22" width="11.54296875" style="184"/>
    <col min="23" max="23" width="10.08984375" style="184" customWidth="1"/>
    <col min="24" max="24" width="21.1796875" style="184" customWidth="1"/>
    <col min="25" max="16384" width="11.54296875" style="184"/>
  </cols>
  <sheetData>
    <row r="1" spans="1:5" ht="28.5" x14ac:dyDescent="0.65">
      <c r="A1" s="358" t="s">
        <v>455</v>
      </c>
    </row>
    <row r="2" spans="1:5" ht="21" x14ac:dyDescent="0.5">
      <c r="A2" s="223" t="s">
        <v>209</v>
      </c>
    </row>
    <row r="3" spans="1:5" ht="18.5" x14ac:dyDescent="0.45">
      <c r="A3" s="191"/>
    </row>
    <row r="4" spans="1:5" ht="18.5" x14ac:dyDescent="0.45">
      <c r="A4" s="192" t="s">
        <v>210</v>
      </c>
      <c r="B4" s="225"/>
    </row>
    <row r="5" spans="1:5" ht="18.5" x14ac:dyDescent="0.45">
      <c r="A5" s="192" t="s">
        <v>211</v>
      </c>
      <c r="B5" s="226"/>
    </row>
    <row r="6" spans="1:5" x14ac:dyDescent="0.35">
      <c r="A6" s="245" t="s">
        <v>212</v>
      </c>
      <c r="D6" s="245" t="s">
        <v>213</v>
      </c>
    </row>
    <row r="7" spans="1:5" ht="18.5" x14ac:dyDescent="0.45">
      <c r="A7" s="209" t="s">
        <v>214</v>
      </c>
      <c r="B7" s="193"/>
      <c r="D7" s="264"/>
      <c r="E7" s="193"/>
    </row>
    <row r="8" spans="1:5" ht="18.5" x14ac:dyDescent="0.45">
      <c r="A8" s="259"/>
      <c r="B8" s="194"/>
      <c r="D8" s="195"/>
      <c r="E8" s="194"/>
    </row>
    <row r="9" spans="1:5" x14ac:dyDescent="0.35">
      <c r="A9" s="210" t="s">
        <v>215</v>
      </c>
      <c r="B9" s="227">
        <v>1</v>
      </c>
      <c r="D9" s="195" t="s">
        <v>216</v>
      </c>
      <c r="E9" s="194"/>
    </row>
    <row r="10" spans="1:5" x14ac:dyDescent="0.35">
      <c r="A10" s="210"/>
      <c r="B10" s="194"/>
      <c r="D10" s="195" t="s">
        <v>217</v>
      </c>
      <c r="E10" s="194"/>
    </row>
    <row r="11" spans="1:5" x14ac:dyDescent="0.35">
      <c r="A11" s="210" t="s">
        <v>218</v>
      </c>
      <c r="B11" s="194"/>
      <c r="D11" s="195"/>
      <c r="E11" s="194"/>
    </row>
    <row r="12" spans="1:5" x14ac:dyDescent="0.35">
      <c r="A12" s="211" t="s">
        <v>219</v>
      </c>
      <c r="B12" s="227">
        <v>1</v>
      </c>
      <c r="D12" s="195" t="s">
        <v>220</v>
      </c>
      <c r="E12" s="194"/>
    </row>
    <row r="13" spans="1:5" x14ac:dyDescent="0.35">
      <c r="A13" s="211" t="s">
        <v>221</v>
      </c>
      <c r="B13" s="227">
        <v>132</v>
      </c>
      <c r="D13" s="195" t="s">
        <v>222</v>
      </c>
      <c r="E13" s="194"/>
    </row>
    <row r="14" spans="1:5" x14ac:dyDescent="0.35">
      <c r="A14" s="210" t="s">
        <v>223</v>
      </c>
      <c r="B14" s="194"/>
      <c r="D14" s="195"/>
      <c r="E14" s="194"/>
    </row>
    <row r="15" spans="1:5" x14ac:dyDescent="0.35">
      <c r="A15" s="211" t="s">
        <v>224</v>
      </c>
      <c r="B15" s="227">
        <v>24</v>
      </c>
      <c r="D15" s="195" t="s">
        <v>225</v>
      </c>
      <c r="E15" s="194"/>
    </row>
    <row r="16" spans="1:5" x14ac:dyDescent="0.35">
      <c r="A16" s="211" t="s">
        <v>226</v>
      </c>
      <c r="B16" s="227">
        <v>23</v>
      </c>
      <c r="D16" s="195" t="s">
        <v>227</v>
      </c>
      <c r="E16" s="194"/>
    </row>
    <row r="17" spans="1:24" x14ac:dyDescent="0.35">
      <c r="A17" s="211" t="s">
        <v>228</v>
      </c>
      <c r="B17" s="227">
        <v>60</v>
      </c>
      <c r="D17" s="195" t="s">
        <v>229</v>
      </c>
      <c r="E17" s="194"/>
    </row>
    <row r="18" spans="1:24" x14ac:dyDescent="0.35">
      <c r="A18" s="211" t="s">
        <v>230</v>
      </c>
      <c r="B18" s="194">
        <f>B15*B16</f>
        <v>552</v>
      </c>
      <c r="D18" s="196"/>
      <c r="E18" s="197"/>
    </row>
    <row r="19" spans="1:24" x14ac:dyDescent="0.35">
      <c r="A19" s="211" t="s">
        <v>231</v>
      </c>
      <c r="B19" s="194">
        <f>B15*(B17+B16)</f>
        <v>1992</v>
      </c>
    </row>
    <row r="20" spans="1:24" x14ac:dyDescent="0.35">
      <c r="A20" s="211" t="s">
        <v>232</v>
      </c>
      <c r="B20" s="194">
        <f>B15*B17</f>
        <v>1440</v>
      </c>
      <c r="D20" s="264"/>
      <c r="E20" s="193"/>
    </row>
    <row r="21" spans="1:24" x14ac:dyDescent="0.35">
      <c r="A21" s="210" t="s">
        <v>233</v>
      </c>
      <c r="B21" s="194"/>
      <c r="D21" s="195" t="s">
        <v>234</v>
      </c>
      <c r="E21" s="194"/>
    </row>
    <row r="22" spans="1:24" x14ac:dyDescent="0.35">
      <c r="A22" s="211" t="s">
        <v>235</v>
      </c>
      <c r="B22" s="194">
        <f>B13+B18</f>
        <v>684</v>
      </c>
      <c r="D22" s="195" t="s">
        <v>236</v>
      </c>
      <c r="E22" s="194"/>
    </row>
    <row r="23" spans="1:24" x14ac:dyDescent="0.35">
      <c r="A23" s="212" t="s">
        <v>237</v>
      </c>
      <c r="B23" s="197">
        <f>B13+B19</f>
        <v>2124</v>
      </c>
      <c r="D23" s="196"/>
      <c r="E23" s="197"/>
    </row>
    <row r="24" spans="1:24" x14ac:dyDescent="0.35">
      <c r="O24" s="245" t="s">
        <v>238</v>
      </c>
    </row>
    <row r="25" spans="1:24" ht="18.5" x14ac:dyDescent="0.45">
      <c r="A25" s="209" t="s">
        <v>239</v>
      </c>
      <c r="B25" s="193"/>
      <c r="D25" s="250" t="s">
        <v>240</v>
      </c>
      <c r="E25" s="269"/>
      <c r="F25" s="299" t="s">
        <v>241</v>
      </c>
      <c r="G25" s="299" t="s">
        <v>242</v>
      </c>
      <c r="H25" s="299" t="s">
        <v>243</v>
      </c>
      <c r="I25" s="300" t="s">
        <v>244</v>
      </c>
      <c r="J25" s="300" t="s">
        <v>245</v>
      </c>
      <c r="K25" s="277" t="s">
        <v>246</v>
      </c>
      <c r="L25" s="183" t="s">
        <v>247</v>
      </c>
      <c r="O25" s="264"/>
      <c r="P25" s="264"/>
      <c r="Q25" s="267"/>
      <c r="R25" s="267"/>
      <c r="S25" s="267"/>
      <c r="T25" s="267"/>
      <c r="U25" s="267"/>
      <c r="V25" s="267"/>
      <c r="W25" s="267"/>
      <c r="X25" s="193"/>
    </row>
    <row r="26" spans="1:24" x14ac:dyDescent="0.35">
      <c r="A26" s="211"/>
      <c r="B26" s="194"/>
      <c r="D26" s="264" t="s">
        <v>248</v>
      </c>
      <c r="E26" s="194"/>
      <c r="F26" s="243">
        <v>350</v>
      </c>
      <c r="G26" s="243">
        <v>250</v>
      </c>
      <c r="H26" s="243">
        <v>150</v>
      </c>
      <c r="I26" s="267"/>
      <c r="J26" s="267"/>
      <c r="K26" s="193"/>
      <c r="L26" s="193"/>
      <c r="O26" s="292">
        <f>L28/L27</f>
        <v>230</v>
      </c>
      <c r="P26" s="195" t="s">
        <v>249</v>
      </c>
      <c r="X26" s="194"/>
    </row>
    <row r="27" spans="1:24" x14ac:dyDescent="0.35">
      <c r="A27" s="210" t="s">
        <v>250</v>
      </c>
      <c r="B27" s="194"/>
      <c r="D27" s="195" t="s">
        <v>251</v>
      </c>
      <c r="E27" s="194"/>
      <c r="F27" s="288">
        <v>75000</v>
      </c>
      <c r="G27" s="288">
        <v>150000</v>
      </c>
      <c r="H27" s="288">
        <v>150000</v>
      </c>
      <c r="K27" s="194"/>
      <c r="L27" s="231">
        <f>SUM(F27:K27)</f>
        <v>375000</v>
      </c>
      <c r="M27" s="184" t="s">
        <v>252</v>
      </c>
      <c r="O27" s="195"/>
      <c r="P27" s="195"/>
      <c r="X27" s="194"/>
    </row>
    <row r="28" spans="1:24" x14ac:dyDescent="0.35">
      <c r="A28" s="211" t="s">
        <v>253</v>
      </c>
      <c r="B28" s="227">
        <v>0.3</v>
      </c>
      <c r="D28" s="196" t="s">
        <v>254</v>
      </c>
      <c r="E28" s="197"/>
      <c r="F28" s="289">
        <f>F26*F27</f>
        <v>26250000</v>
      </c>
      <c r="G28" s="289">
        <f>G26*G27</f>
        <v>37500000</v>
      </c>
      <c r="H28" s="289">
        <f>H26*H27</f>
        <v>22500000</v>
      </c>
      <c r="I28" s="244"/>
      <c r="J28" s="244"/>
      <c r="K28" s="197"/>
      <c r="L28" s="260">
        <f>SUM(F28:K28)</f>
        <v>86250000</v>
      </c>
      <c r="M28" s="184" t="s">
        <v>255</v>
      </c>
      <c r="O28" s="195"/>
      <c r="P28" s="195"/>
      <c r="X28" s="194"/>
    </row>
    <row r="29" spans="1:24" x14ac:dyDescent="0.35">
      <c r="A29" s="211" t="s">
        <v>256</v>
      </c>
      <c r="B29" s="227">
        <v>0.1</v>
      </c>
      <c r="D29" s="264" t="s">
        <v>257</v>
      </c>
      <c r="E29" s="194"/>
      <c r="F29" s="182">
        <f>ROUNDDOWN(F27/$B$20,0)</f>
        <v>52</v>
      </c>
      <c r="G29" s="182">
        <f>ROUNDDOWN(G27/$B$20,0)</f>
        <v>104</v>
      </c>
      <c r="H29" s="182">
        <f>ROUNDDOWN(H27/$B$20,0)</f>
        <v>104</v>
      </c>
      <c r="I29" s="182"/>
      <c r="J29" s="182"/>
      <c r="K29" s="248"/>
      <c r="L29" s="194">
        <f>SUM(F29:H29)</f>
        <v>260</v>
      </c>
      <c r="O29" s="195"/>
      <c r="P29" s="195"/>
      <c r="X29" s="194"/>
    </row>
    <row r="30" spans="1:24" x14ac:dyDescent="0.35">
      <c r="A30" s="211" t="s">
        <v>258</v>
      </c>
      <c r="B30" s="227">
        <v>2</v>
      </c>
      <c r="D30" s="195" t="s">
        <v>259</v>
      </c>
      <c r="E30" s="194"/>
      <c r="F30" s="83">
        <f>$B$15*($B$28+$B$29)+(2*F26)/$B$31+2*$B$30</f>
        <v>26.327272727272728</v>
      </c>
      <c r="G30" s="83">
        <f>$B$15*($B$28+$B$29)+(2*G26)/$B$31+2*$B$30</f>
        <v>22.690909090909095</v>
      </c>
      <c r="H30" s="83">
        <f>$B$15*($B$28+$B$29)+(2*H26)/$B$31+2*$B$30</f>
        <v>19.054545454545455</v>
      </c>
      <c r="I30" s="83"/>
      <c r="J30" s="83"/>
      <c r="K30" s="303"/>
      <c r="L30" s="194"/>
      <c r="O30" s="293">
        <f>SUMPRODUCT(F30:H30*F29:H29)/L29</f>
        <v>21.963636363636365</v>
      </c>
      <c r="P30" s="295" t="s">
        <v>260</v>
      </c>
      <c r="X30" s="194"/>
    </row>
    <row r="31" spans="1:24" x14ac:dyDescent="0.35">
      <c r="A31" s="212" t="s">
        <v>261</v>
      </c>
      <c r="B31" s="233">
        <v>55</v>
      </c>
      <c r="D31" s="195" t="s">
        <v>262</v>
      </c>
      <c r="E31" s="194"/>
      <c r="F31" s="184">
        <f>IF(F30&lt;12,0.5,IF(F30&lt;24,1,IF(F30&gt;24,2)))</f>
        <v>2</v>
      </c>
      <c r="G31" s="184">
        <f>IF(G30&lt;12,0.5,IF(G30&lt;24,1,IF(G30&gt;24,2)))</f>
        <v>1</v>
      </c>
      <c r="H31" s="184">
        <f>IF(H30&lt;12,0.5,IF(H30&lt;24,1,IF(H30&gt;24,2)))</f>
        <v>1</v>
      </c>
      <c r="K31" s="194"/>
      <c r="L31" s="194"/>
      <c r="O31" s="195"/>
      <c r="P31" s="195"/>
      <c r="R31" s="184" t="s">
        <v>263</v>
      </c>
      <c r="X31" s="194"/>
    </row>
    <row r="32" spans="1:24" x14ac:dyDescent="0.35">
      <c r="B32" s="182"/>
      <c r="C32" s="182"/>
      <c r="D32" s="196" t="s">
        <v>264</v>
      </c>
      <c r="E32" s="197"/>
      <c r="F32" s="184">
        <f>F29*F31</f>
        <v>104</v>
      </c>
      <c r="G32" s="184">
        <f>G29*G31</f>
        <v>104</v>
      </c>
      <c r="H32" s="184">
        <f>H29*H31</f>
        <v>104</v>
      </c>
      <c r="K32" s="194"/>
      <c r="L32" s="298">
        <f t="shared" ref="L32" si="0">SUM(F32:H32)</f>
        <v>312</v>
      </c>
      <c r="M32" s="184" t="s">
        <v>265</v>
      </c>
      <c r="O32" s="195"/>
      <c r="P32" s="195"/>
      <c r="R32" s="184" t="s">
        <v>266</v>
      </c>
      <c r="X32" s="194"/>
    </row>
    <row r="33" spans="1:24" x14ac:dyDescent="0.35">
      <c r="B33" s="182"/>
      <c r="C33" s="182"/>
      <c r="D33" s="264" t="s">
        <v>267</v>
      </c>
      <c r="E33" s="194"/>
      <c r="F33" s="290">
        <f>F30*F29</f>
        <v>1369.0181818181818</v>
      </c>
      <c r="G33" s="290">
        <f>G30*G29</f>
        <v>2359.854545454546</v>
      </c>
      <c r="H33" s="290">
        <f>H30*H29</f>
        <v>1981.6727272727273</v>
      </c>
      <c r="I33" s="246"/>
      <c r="J33" s="246"/>
      <c r="K33" s="248"/>
      <c r="L33" s="261">
        <f>SUM(F33:K33)</f>
        <v>5710.545454545455</v>
      </c>
      <c r="M33" s="184" t="s">
        <v>268</v>
      </c>
      <c r="O33" s="294">
        <f>L33/5000</f>
        <v>1.142109090909091</v>
      </c>
      <c r="P33" s="195" t="s">
        <v>269</v>
      </c>
      <c r="X33" s="194"/>
    </row>
    <row r="34" spans="1:24" ht="18.5" x14ac:dyDescent="0.45">
      <c r="A34" s="209" t="s">
        <v>270</v>
      </c>
      <c r="B34" s="248"/>
      <c r="C34" s="182"/>
      <c r="D34" s="195" t="s">
        <v>271</v>
      </c>
      <c r="E34" s="194"/>
      <c r="F34" s="291">
        <f>F26*2*F29</f>
        <v>36400</v>
      </c>
      <c r="G34" s="291">
        <f>G26*2*G29</f>
        <v>52000</v>
      </c>
      <c r="H34" s="291">
        <f>H26*2*H29</f>
        <v>31200</v>
      </c>
      <c r="I34" s="182"/>
      <c r="J34" s="182"/>
      <c r="K34" s="199"/>
      <c r="L34" s="203">
        <f>SUM(F34:K34)</f>
        <v>119600</v>
      </c>
      <c r="M34" s="184" t="s">
        <v>272</v>
      </c>
      <c r="O34" s="195"/>
      <c r="P34" s="195"/>
      <c r="X34" s="194"/>
    </row>
    <row r="35" spans="1:24" x14ac:dyDescent="0.35">
      <c r="A35" s="210"/>
      <c r="B35" s="199"/>
      <c r="C35" s="182"/>
      <c r="D35" s="196" t="s">
        <v>273</v>
      </c>
      <c r="E35" s="197"/>
      <c r="F35" s="289">
        <f>F34*($B$18+$B$19)/2</f>
        <v>46300800</v>
      </c>
      <c r="G35" s="289">
        <f>G34*($B$18+$B$19)/2</f>
        <v>66144000</v>
      </c>
      <c r="H35" s="289">
        <f>H34*($B$18+$B$19)/2</f>
        <v>39686400</v>
      </c>
      <c r="I35" s="247"/>
      <c r="J35" s="247"/>
      <c r="K35" s="200"/>
      <c r="L35" s="204">
        <f>SUM(F35:K35)</f>
        <v>152131200</v>
      </c>
      <c r="M35" s="184" t="s">
        <v>274</v>
      </c>
      <c r="O35" s="196"/>
      <c r="P35" s="196"/>
      <c r="Q35" s="244"/>
      <c r="R35" s="244"/>
      <c r="S35" s="244"/>
      <c r="T35" s="244"/>
      <c r="U35" s="244"/>
      <c r="V35" s="244"/>
      <c r="W35" s="244"/>
      <c r="X35" s="197"/>
    </row>
    <row r="36" spans="1:24" ht="15.5" x14ac:dyDescent="0.35">
      <c r="A36" s="213" t="s">
        <v>275</v>
      </c>
      <c r="B36" s="194"/>
    </row>
    <row r="37" spans="1:24" x14ac:dyDescent="0.35">
      <c r="A37" s="211" t="s">
        <v>276</v>
      </c>
      <c r="B37" s="234">
        <v>3500000</v>
      </c>
      <c r="D37" s="264" t="s">
        <v>277</v>
      </c>
      <c r="E37" s="193"/>
    </row>
    <row r="38" spans="1:24" x14ac:dyDescent="0.35">
      <c r="A38" s="211" t="s">
        <v>278</v>
      </c>
      <c r="B38" s="234">
        <v>90000</v>
      </c>
      <c r="D38" s="195"/>
      <c r="E38" s="194"/>
      <c r="O38" s="268"/>
      <c r="P38" s="269"/>
      <c r="Q38" s="256"/>
      <c r="R38" s="256" t="s">
        <v>279</v>
      </c>
      <c r="S38" s="256"/>
      <c r="T38" s="256"/>
      <c r="U38" s="256"/>
      <c r="V38" s="256"/>
      <c r="W38" s="257"/>
      <c r="X38" s="273"/>
    </row>
    <row r="39" spans="1:24" ht="15.5" x14ac:dyDescent="0.35">
      <c r="A39" s="213" t="s">
        <v>280</v>
      </c>
      <c r="B39" s="198"/>
      <c r="D39" s="195"/>
      <c r="E39" s="194"/>
      <c r="J39" s="272" t="s">
        <v>281</v>
      </c>
      <c r="K39" s="285" t="s">
        <v>282</v>
      </c>
      <c r="L39" s="277" t="s">
        <v>283</v>
      </c>
      <c r="O39" s="272" t="s">
        <v>284</v>
      </c>
      <c r="P39" s="272" t="s">
        <v>285</v>
      </c>
      <c r="Q39" s="300" t="s">
        <v>286</v>
      </c>
      <c r="R39" s="300" t="s">
        <v>287</v>
      </c>
      <c r="S39" s="300" t="s">
        <v>288</v>
      </c>
      <c r="T39" s="300" t="s">
        <v>289</v>
      </c>
      <c r="U39" s="300" t="s">
        <v>290</v>
      </c>
      <c r="V39" s="300" t="s">
        <v>291</v>
      </c>
      <c r="W39" s="277" t="s">
        <v>292</v>
      </c>
      <c r="X39" s="271" t="s">
        <v>293</v>
      </c>
    </row>
    <row r="40" spans="1:24" x14ac:dyDescent="0.35">
      <c r="A40" s="211" t="s">
        <v>294</v>
      </c>
      <c r="B40" s="228">
        <v>0.05</v>
      </c>
      <c r="D40" s="195" t="s">
        <v>295</v>
      </c>
      <c r="E40" s="194"/>
      <c r="J40" s="275" t="s">
        <v>296</v>
      </c>
      <c r="K40" s="286">
        <f>F29/52</f>
        <v>1</v>
      </c>
      <c r="L40" s="278">
        <f>F31</f>
        <v>2</v>
      </c>
      <c r="O40" s="274"/>
      <c r="P40" s="274" t="s">
        <v>296</v>
      </c>
      <c r="Q40" s="280"/>
      <c r="R40" s="280"/>
      <c r="S40" s="280"/>
      <c r="T40" s="280"/>
      <c r="U40" s="302"/>
      <c r="V40" s="302">
        <v>1</v>
      </c>
      <c r="W40" s="281"/>
      <c r="X40" s="273">
        <f>SUM(Q40:W40)</f>
        <v>1</v>
      </c>
    </row>
    <row r="41" spans="1:24" x14ac:dyDescent="0.35">
      <c r="A41" s="211" t="s">
        <v>297</v>
      </c>
      <c r="B41" s="228">
        <v>0.05</v>
      </c>
      <c r="D41" s="195"/>
      <c r="E41" s="194"/>
      <c r="J41" s="275" t="s">
        <v>298</v>
      </c>
      <c r="K41" s="286">
        <f>G29/52</f>
        <v>2</v>
      </c>
      <c r="L41" s="278">
        <f>G31</f>
        <v>1</v>
      </c>
      <c r="O41" s="275">
        <v>1</v>
      </c>
      <c r="P41" s="275" t="s">
        <v>298</v>
      </c>
      <c r="Q41" s="304"/>
      <c r="R41" s="305">
        <v>1</v>
      </c>
      <c r="S41" s="304"/>
      <c r="T41" s="305">
        <v>1</v>
      </c>
      <c r="U41" s="304"/>
      <c r="V41" s="304"/>
      <c r="W41" s="282"/>
      <c r="X41" s="270">
        <f>SUM(Q41:W41)</f>
        <v>2</v>
      </c>
    </row>
    <row r="42" spans="1:24" ht="15.5" x14ac:dyDescent="0.35">
      <c r="A42" s="213" t="s">
        <v>299</v>
      </c>
      <c r="B42" s="194"/>
      <c r="D42" s="195"/>
      <c r="E42" s="194"/>
      <c r="J42" s="276" t="s">
        <v>300</v>
      </c>
      <c r="K42" s="287">
        <f>H29/52</f>
        <v>2</v>
      </c>
      <c r="L42" s="279">
        <f>H31</f>
        <v>1</v>
      </c>
      <c r="O42" s="276"/>
      <c r="P42" s="276" t="s">
        <v>300</v>
      </c>
      <c r="Q42" s="301">
        <v>1</v>
      </c>
      <c r="R42" s="283"/>
      <c r="S42" s="301">
        <v>1</v>
      </c>
      <c r="T42" s="283"/>
      <c r="U42" s="283"/>
      <c r="V42" s="283"/>
      <c r="W42" s="284"/>
      <c r="X42" s="271">
        <f>SUM(Q42:W42)</f>
        <v>2</v>
      </c>
    </row>
    <row r="43" spans="1:24" x14ac:dyDescent="0.35">
      <c r="A43" s="211" t="s">
        <v>294</v>
      </c>
      <c r="B43" s="227">
        <v>30</v>
      </c>
      <c r="D43" s="195" t="s">
        <v>301</v>
      </c>
      <c r="E43" s="194"/>
      <c r="N43" s="306"/>
      <c r="O43" s="306"/>
      <c r="P43" s="21"/>
      <c r="Q43" s="21"/>
      <c r="R43" s="21"/>
      <c r="S43" s="21"/>
      <c r="T43" s="21"/>
      <c r="U43" s="21"/>
      <c r="V43" s="21"/>
      <c r="W43" s="21"/>
    </row>
    <row r="44" spans="1:24" x14ac:dyDescent="0.35">
      <c r="A44" s="211" t="s">
        <v>297</v>
      </c>
      <c r="B44" s="227">
        <v>20</v>
      </c>
      <c r="D44" s="195"/>
      <c r="E44" s="194"/>
      <c r="N44" s="306"/>
      <c r="O44" s="306"/>
      <c r="P44" s="21"/>
      <c r="Q44" s="21"/>
      <c r="R44" s="21"/>
      <c r="S44" s="21"/>
      <c r="T44" s="21"/>
      <c r="U44" s="21"/>
      <c r="V44" s="21"/>
      <c r="W44" s="21"/>
    </row>
    <row r="45" spans="1:24" ht="15.5" x14ac:dyDescent="0.35">
      <c r="A45" s="213" t="s">
        <v>302</v>
      </c>
      <c r="B45" s="194"/>
      <c r="D45" s="195"/>
      <c r="E45" s="194"/>
      <c r="N45" s="306"/>
      <c r="O45" s="306"/>
      <c r="P45" s="21"/>
      <c r="Q45" s="21"/>
      <c r="R45" s="21"/>
      <c r="S45" s="21"/>
      <c r="T45" s="21"/>
      <c r="U45" s="21"/>
      <c r="V45" s="21"/>
      <c r="W45" s="21"/>
    </row>
    <row r="46" spans="1:24" x14ac:dyDescent="0.35">
      <c r="A46" s="211" t="s">
        <v>276</v>
      </c>
      <c r="B46" s="234">
        <v>50000</v>
      </c>
      <c r="D46" s="195" t="s">
        <v>303</v>
      </c>
      <c r="E46" s="194"/>
    </row>
    <row r="47" spans="1:24" x14ac:dyDescent="0.35">
      <c r="A47" s="211" t="s">
        <v>278</v>
      </c>
      <c r="B47" s="234">
        <v>3000</v>
      </c>
      <c r="D47" s="195"/>
      <c r="E47" s="194"/>
    </row>
    <row r="48" spans="1:24" x14ac:dyDescent="0.35">
      <c r="A48" s="244"/>
      <c r="B48" s="253"/>
      <c r="D48" s="196"/>
      <c r="E48" s="197"/>
    </row>
    <row r="49" spans="1:5" ht="15.5" x14ac:dyDescent="0.35">
      <c r="A49" s="213"/>
      <c r="B49" s="194"/>
      <c r="D49" s="195"/>
      <c r="E49" s="194"/>
    </row>
    <row r="50" spans="1:5" ht="15.5" x14ac:dyDescent="0.35">
      <c r="A50" s="213" t="s">
        <v>304</v>
      </c>
      <c r="B50" s="194"/>
      <c r="D50" s="195"/>
      <c r="E50" s="194"/>
    </row>
    <row r="51" spans="1:5" x14ac:dyDescent="0.35">
      <c r="A51" s="211"/>
      <c r="B51" s="194"/>
      <c r="D51" s="195"/>
      <c r="E51" s="194"/>
    </row>
    <row r="52" spans="1:5" x14ac:dyDescent="0.35">
      <c r="A52" s="214" t="s">
        <v>305</v>
      </c>
      <c r="B52" s="194"/>
      <c r="D52" s="195"/>
      <c r="E52" s="194"/>
    </row>
    <row r="53" spans="1:5" x14ac:dyDescent="0.35">
      <c r="A53" s="211" t="s">
        <v>306</v>
      </c>
      <c r="B53" s="198">
        <f>((1+B40)*(B37/2))*B12</f>
        <v>1837500</v>
      </c>
      <c r="D53" s="195"/>
      <c r="E53" s="194"/>
    </row>
    <row r="54" spans="1:5" x14ac:dyDescent="0.35">
      <c r="A54" s="211" t="s">
        <v>307</v>
      </c>
      <c r="B54" s="198">
        <f>((1+B41)*(B38/2))*B15</f>
        <v>1134000</v>
      </c>
      <c r="D54" s="195"/>
      <c r="E54" s="194"/>
    </row>
    <row r="55" spans="1:5" x14ac:dyDescent="0.35">
      <c r="A55" s="211"/>
      <c r="B55" s="194"/>
      <c r="D55" s="195"/>
      <c r="E55" s="194"/>
    </row>
    <row r="56" spans="1:5" x14ac:dyDescent="0.35">
      <c r="A56" s="214" t="s">
        <v>308</v>
      </c>
      <c r="B56" s="194"/>
      <c r="D56" s="195"/>
      <c r="E56" s="194"/>
    </row>
    <row r="57" spans="1:5" x14ac:dyDescent="0.35">
      <c r="A57" s="211" t="s">
        <v>309</v>
      </c>
      <c r="B57" s="235">
        <v>0.125</v>
      </c>
      <c r="D57" s="195" t="s">
        <v>310</v>
      </c>
      <c r="E57" s="194"/>
    </row>
    <row r="58" spans="1:5" x14ac:dyDescent="0.35">
      <c r="A58" s="211" t="s">
        <v>294</v>
      </c>
      <c r="B58" s="198">
        <f>B57*B53</f>
        <v>229687.5</v>
      </c>
      <c r="D58" s="195"/>
      <c r="E58" s="194"/>
    </row>
    <row r="59" spans="1:5" x14ac:dyDescent="0.35">
      <c r="A59" s="211" t="s">
        <v>307</v>
      </c>
      <c r="B59" s="202">
        <f>B57*B54</f>
        <v>141750</v>
      </c>
      <c r="C59" s="185"/>
      <c r="D59" s="195"/>
      <c r="E59" s="194"/>
    </row>
    <row r="60" spans="1:5" x14ac:dyDescent="0.35">
      <c r="A60" s="211" t="s">
        <v>311</v>
      </c>
      <c r="B60" s="230">
        <f>B58+B59</f>
        <v>371437.5</v>
      </c>
      <c r="D60" s="195"/>
      <c r="E60" s="194"/>
    </row>
    <row r="61" spans="1:5" x14ac:dyDescent="0.35">
      <c r="A61" s="211"/>
      <c r="B61" s="194"/>
      <c r="D61" s="195"/>
      <c r="E61" s="194"/>
    </row>
    <row r="62" spans="1:5" x14ac:dyDescent="0.35">
      <c r="A62" s="214" t="s">
        <v>312</v>
      </c>
      <c r="B62" s="194"/>
      <c r="D62" s="195"/>
      <c r="E62" s="194"/>
    </row>
    <row r="63" spans="1:5" x14ac:dyDescent="0.35">
      <c r="A63" s="211" t="s">
        <v>306</v>
      </c>
      <c r="B63" s="203">
        <f>(((1-B40)*B37)/B43)*B12</f>
        <v>110833.33333333333</v>
      </c>
      <c r="D63" s="195"/>
      <c r="E63" s="194"/>
    </row>
    <row r="64" spans="1:5" x14ac:dyDescent="0.35">
      <c r="A64" s="211" t="s">
        <v>307</v>
      </c>
      <c r="B64" s="204">
        <f>B15*(((1-B41)*B38)/B44)</f>
        <v>102600</v>
      </c>
      <c r="C64" s="185"/>
      <c r="D64" s="195"/>
      <c r="E64" s="194"/>
    </row>
    <row r="65" spans="1:5" x14ac:dyDescent="0.35">
      <c r="A65" s="211" t="s">
        <v>313</v>
      </c>
      <c r="B65" s="231">
        <f>B63+B64</f>
        <v>213433.33333333331</v>
      </c>
      <c r="D65" s="195"/>
      <c r="E65" s="194"/>
    </row>
    <row r="66" spans="1:5" x14ac:dyDescent="0.35">
      <c r="A66" s="211"/>
      <c r="B66" s="194"/>
      <c r="D66" s="195"/>
      <c r="E66" s="194"/>
    </row>
    <row r="67" spans="1:5" x14ac:dyDescent="0.35">
      <c r="A67" s="214" t="s">
        <v>314</v>
      </c>
      <c r="B67" s="194"/>
      <c r="D67" s="195"/>
      <c r="E67" s="194"/>
    </row>
    <row r="68" spans="1:5" x14ac:dyDescent="0.35">
      <c r="A68" s="211" t="s">
        <v>306</v>
      </c>
      <c r="B68" s="198">
        <f>B46*B12</f>
        <v>50000</v>
      </c>
      <c r="C68" s="185"/>
      <c r="D68" s="195"/>
      <c r="E68" s="194"/>
    </row>
    <row r="69" spans="1:5" x14ac:dyDescent="0.35">
      <c r="A69" s="211" t="s">
        <v>307</v>
      </c>
      <c r="B69" s="202">
        <f>B15*B47</f>
        <v>72000</v>
      </c>
      <c r="C69" s="185"/>
      <c r="D69" s="195"/>
      <c r="E69" s="194"/>
    </row>
    <row r="70" spans="1:5" x14ac:dyDescent="0.35">
      <c r="A70" s="211" t="s">
        <v>315</v>
      </c>
      <c r="B70" s="230">
        <f>B68+B69</f>
        <v>122000</v>
      </c>
      <c r="D70" s="195"/>
      <c r="E70" s="194"/>
    </row>
    <row r="71" spans="1:5" x14ac:dyDescent="0.35">
      <c r="A71" s="211"/>
      <c r="B71" s="194"/>
      <c r="D71" s="195"/>
      <c r="E71" s="194"/>
    </row>
    <row r="72" spans="1:5" x14ac:dyDescent="0.35">
      <c r="A72" s="214" t="s">
        <v>316</v>
      </c>
      <c r="B72" s="198">
        <f>B60+B65+B70</f>
        <v>706870.83333333326</v>
      </c>
      <c r="D72" s="195"/>
      <c r="E72" s="194"/>
    </row>
    <row r="73" spans="1:5" x14ac:dyDescent="0.35">
      <c r="A73" s="212" t="s">
        <v>317</v>
      </c>
      <c r="B73" s="249">
        <v>0.1</v>
      </c>
      <c r="D73" s="195"/>
      <c r="E73" s="194"/>
    </row>
    <row r="74" spans="1:5" ht="18.5" x14ac:dyDescent="0.45">
      <c r="A74" s="250" t="s">
        <v>318</v>
      </c>
      <c r="B74" s="251">
        <f>B9*B72*(1+B73)</f>
        <v>777557.91666666663</v>
      </c>
      <c r="D74" s="196"/>
      <c r="E74" s="197"/>
    </row>
    <row r="75" spans="1:5" x14ac:dyDescent="0.35">
      <c r="A75" s="211"/>
      <c r="B75" s="194"/>
      <c r="D75" s="195"/>
      <c r="E75" s="194"/>
    </row>
    <row r="76" spans="1:5" ht="15.5" x14ac:dyDescent="0.35">
      <c r="A76" s="213" t="s">
        <v>319</v>
      </c>
      <c r="B76" s="194"/>
      <c r="D76" s="195"/>
      <c r="E76" s="194"/>
    </row>
    <row r="77" spans="1:5" x14ac:dyDescent="0.35">
      <c r="A77" s="211"/>
      <c r="B77" s="194"/>
      <c r="D77" s="195"/>
      <c r="E77" s="194"/>
    </row>
    <row r="78" spans="1:5" x14ac:dyDescent="0.35">
      <c r="A78" s="211" t="s">
        <v>320</v>
      </c>
      <c r="B78" s="203">
        <f>L33</f>
        <v>5710.545454545455</v>
      </c>
      <c r="D78" s="195"/>
      <c r="E78" s="194"/>
    </row>
    <row r="79" spans="1:5" x14ac:dyDescent="0.35">
      <c r="A79" s="211" t="s">
        <v>321</v>
      </c>
      <c r="B79" s="234">
        <v>80</v>
      </c>
      <c r="D79" s="195" t="s">
        <v>322</v>
      </c>
      <c r="E79" s="194"/>
    </row>
    <row r="80" spans="1:5" x14ac:dyDescent="0.35">
      <c r="A80" s="211" t="s">
        <v>323</v>
      </c>
      <c r="B80" s="229">
        <v>0.9</v>
      </c>
      <c r="D80" s="195" t="s">
        <v>324</v>
      </c>
      <c r="E80" s="194"/>
    </row>
    <row r="81" spans="1:5" x14ac:dyDescent="0.35">
      <c r="A81" s="214" t="s">
        <v>325</v>
      </c>
      <c r="B81" s="231">
        <f>(B78/B80)*B79</f>
        <v>507604.04040404042</v>
      </c>
      <c r="D81" s="195"/>
      <c r="E81" s="194"/>
    </row>
    <row r="82" spans="1:5" x14ac:dyDescent="0.35">
      <c r="A82" s="211"/>
      <c r="B82" s="203"/>
      <c r="D82" s="195"/>
      <c r="E82" s="194"/>
    </row>
    <row r="83" spans="1:5" x14ac:dyDescent="0.35">
      <c r="A83" s="211" t="s">
        <v>326</v>
      </c>
      <c r="B83" s="203">
        <f>L34</f>
        <v>119600</v>
      </c>
      <c r="D83" s="195"/>
      <c r="E83" s="194"/>
    </row>
    <row r="84" spans="1:5" x14ac:dyDescent="0.35">
      <c r="A84" s="211" t="s">
        <v>327</v>
      </c>
      <c r="B84" s="307">
        <v>0.2</v>
      </c>
      <c r="D84" s="195" t="s">
        <v>328</v>
      </c>
      <c r="E84" s="194"/>
    </row>
    <row r="85" spans="1:5" x14ac:dyDescent="0.35">
      <c r="A85" s="214" t="s">
        <v>329</v>
      </c>
      <c r="B85" s="231">
        <f>B83*(B84)</f>
        <v>23920</v>
      </c>
      <c r="D85" s="195"/>
      <c r="E85" s="194"/>
    </row>
    <row r="86" spans="1:5" x14ac:dyDescent="0.35">
      <c r="A86" s="211"/>
      <c r="B86" s="194"/>
      <c r="D86" s="195"/>
      <c r="E86" s="194"/>
    </row>
    <row r="87" spans="1:5" x14ac:dyDescent="0.35">
      <c r="A87" s="211" t="s">
        <v>330</v>
      </c>
      <c r="B87" s="203">
        <f>L35</f>
        <v>152131200</v>
      </c>
      <c r="D87" s="195"/>
      <c r="E87" s="194"/>
    </row>
    <row r="88" spans="1:5" x14ac:dyDescent="0.35">
      <c r="A88" s="211" t="s">
        <v>331</v>
      </c>
      <c r="B88" s="236">
        <v>1E-3</v>
      </c>
      <c r="D88" s="195" t="s">
        <v>332</v>
      </c>
      <c r="E88" s="194"/>
    </row>
    <row r="89" spans="1:5" x14ac:dyDescent="0.35">
      <c r="A89" s="211" t="s">
        <v>333</v>
      </c>
      <c r="B89" s="237">
        <v>1.5E-3</v>
      </c>
      <c r="D89" s="195" t="s">
        <v>334</v>
      </c>
      <c r="E89" s="194"/>
    </row>
    <row r="90" spans="1:5" x14ac:dyDescent="0.35">
      <c r="A90" s="214" t="s">
        <v>335</v>
      </c>
      <c r="B90" s="231">
        <f>B87*(B88+B89)</f>
        <v>380328</v>
      </c>
      <c r="C90" s="185"/>
      <c r="D90" s="265"/>
      <c r="E90" s="194"/>
    </row>
    <row r="91" spans="1:5" x14ac:dyDescent="0.35">
      <c r="A91" s="214"/>
      <c r="B91" s="201"/>
      <c r="C91" s="185"/>
      <c r="D91" s="265"/>
      <c r="E91" s="194"/>
    </row>
    <row r="92" spans="1:5" x14ac:dyDescent="0.35">
      <c r="A92" s="250" t="s">
        <v>336</v>
      </c>
      <c r="B92" s="255">
        <f>B81+B85+B90</f>
        <v>911852.04040404037</v>
      </c>
      <c r="C92" s="185"/>
      <c r="D92" s="266"/>
      <c r="E92" s="197"/>
    </row>
    <row r="93" spans="1:5" ht="18.5" x14ac:dyDescent="0.45">
      <c r="B93" s="254"/>
    </row>
    <row r="94" spans="1:5" x14ac:dyDescent="0.35">
      <c r="A94" s="308"/>
    </row>
    <row r="96" spans="1:5" ht="15.5" x14ac:dyDescent="0.35">
      <c r="A96" s="252" t="s">
        <v>337</v>
      </c>
      <c r="B96" s="193"/>
      <c r="D96" s="264"/>
      <c r="E96" s="193"/>
    </row>
    <row r="97" spans="1:5" x14ac:dyDescent="0.35">
      <c r="A97" s="211"/>
      <c r="B97" s="194"/>
      <c r="D97" s="195"/>
      <c r="E97" s="194"/>
    </row>
    <row r="98" spans="1:5" x14ac:dyDescent="0.35">
      <c r="A98" s="211" t="s">
        <v>338</v>
      </c>
      <c r="B98" s="198">
        <f>B92</f>
        <v>911852.04040404037</v>
      </c>
      <c r="D98" s="195"/>
      <c r="E98" s="194"/>
    </row>
    <row r="99" spans="1:5" x14ac:dyDescent="0.35">
      <c r="A99" s="211" t="s">
        <v>339</v>
      </c>
      <c r="B99" s="202">
        <f>B74</f>
        <v>777557.91666666663</v>
      </c>
      <c r="D99" s="195"/>
      <c r="E99" s="194"/>
    </row>
    <row r="100" spans="1:5" ht="18.5" x14ac:dyDescent="0.45">
      <c r="A100" s="239" t="s">
        <v>340</v>
      </c>
      <c r="B100" s="240">
        <f>B98+B99</f>
        <v>1689409.9570707069</v>
      </c>
      <c r="D100" s="195"/>
      <c r="E100" s="194"/>
    </row>
    <row r="101" spans="1:5" x14ac:dyDescent="0.35">
      <c r="A101" s="211"/>
      <c r="B101" s="198"/>
      <c r="D101" s="195"/>
      <c r="E101" s="194"/>
    </row>
    <row r="102" spans="1:5" x14ac:dyDescent="0.35">
      <c r="A102" s="211" t="s">
        <v>341</v>
      </c>
      <c r="B102" s="203">
        <f>L27</f>
        <v>375000</v>
      </c>
      <c r="D102" s="195"/>
      <c r="E102" s="194"/>
    </row>
    <row r="103" spans="1:5" x14ac:dyDescent="0.35">
      <c r="A103" s="211" t="s">
        <v>342</v>
      </c>
      <c r="B103" s="205">
        <f>B98/$B$102</f>
        <v>2.431605441077441</v>
      </c>
      <c r="D103" s="195"/>
      <c r="E103" s="194"/>
    </row>
    <row r="104" spans="1:5" x14ac:dyDescent="0.35">
      <c r="A104" s="211" t="s">
        <v>343</v>
      </c>
      <c r="B104" s="206">
        <f t="shared" ref="B104:B105" si="1">B99/$B$102</f>
        <v>2.0734877777777778</v>
      </c>
      <c r="D104" s="195"/>
      <c r="E104" s="194"/>
    </row>
    <row r="105" spans="1:5" ht="18.5" x14ac:dyDescent="0.45">
      <c r="A105" s="239" t="s">
        <v>344</v>
      </c>
      <c r="B105" s="241">
        <f t="shared" si="1"/>
        <v>4.505093218855218</v>
      </c>
      <c r="D105" s="195"/>
      <c r="E105" s="194"/>
    </row>
    <row r="106" spans="1:5" ht="15.5" x14ac:dyDescent="0.35">
      <c r="A106" s="224" t="s">
        <v>345</v>
      </c>
      <c r="B106" s="297">
        <v>0.91</v>
      </c>
      <c r="D106" s="195" t="s">
        <v>346</v>
      </c>
      <c r="E106" s="194"/>
    </row>
    <row r="107" spans="1:5" ht="21" x14ac:dyDescent="0.5">
      <c r="A107" s="224" t="s">
        <v>347</v>
      </c>
      <c r="B107" s="205">
        <f>B105*B106</f>
        <v>4.0996348291582487</v>
      </c>
      <c r="C107" s="223"/>
      <c r="D107" s="195"/>
      <c r="E107" s="194"/>
    </row>
    <row r="108" spans="1:5" x14ac:dyDescent="0.35">
      <c r="A108" s="211"/>
      <c r="B108" s="194"/>
      <c r="D108" s="195"/>
      <c r="E108" s="194"/>
    </row>
    <row r="109" spans="1:5" x14ac:dyDescent="0.35">
      <c r="A109" s="211" t="s">
        <v>348</v>
      </c>
      <c r="B109" s="203">
        <f>(F27*F26)+(G27*G26)+(H27*H26)</f>
        <v>86250000</v>
      </c>
      <c r="D109" s="195"/>
      <c r="E109" s="194"/>
    </row>
    <row r="110" spans="1:5" x14ac:dyDescent="0.35">
      <c r="A110" s="211" t="s">
        <v>349</v>
      </c>
      <c r="B110" s="207">
        <f>B98/$B$109</f>
        <v>1.0572197569901918E-2</v>
      </c>
      <c r="D110" s="195"/>
      <c r="E110" s="194"/>
    </row>
    <row r="111" spans="1:5" x14ac:dyDescent="0.35">
      <c r="A111" s="211" t="s">
        <v>350</v>
      </c>
      <c r="B111" s="208">
        <f t="shared" ref="B111:B112" si="2">B99/$B$109</f>
        <v>9.0151642512077291E-3</v>
      </c>
      <c r="D111" s="195"/>
      <c r="E111" s="194"/>
    </row>
    <row r="112" spans="1:5" ht="18.5" x14ac:dyDescent="0.45">
      <c r="A112" s="242" t="s">
        <v>351</v>
      </c>
      <c r="B112" s="258">
        <f t="shared" si="2"/>
        <v>1.9587361821109647E-2</v>
      </c>
      <c r="D112" s="195"/>
      <c r="E112" s="194"/>
    </row>
    <row r="113" spans="1:5" x14ac:dyDescent="0.35">
      <c r="A113" s="262" t="s">
        <v>352</v>
      </c>
      <c r="B113" s="263">
        <f>B112*B106</f>
        <v>1.7824499257209778E-2</v>
      </c>
      <c r="D113" s="196"/>
      <c r="E113" s="197"/>
    </row>
    <row r="117" spans="1:5" ht="23.5" x14ac:dyDescent="0.55000000000000004">
      <c r="A117" s="215" t="s">
        <v>353</v>
      </c>
      <c r="B117" s="187"/>
    </row>
    <row r="118" spans="1:5" x14ac:dyDescent="0.35">
      <c r="A118" s="188"/>
      <c r="B118" s="216"/>
    </row>
    <row r="119" spans="1:5" x14ac:dyDescent="0.35">
      <c r="A119" s="217" t="s">
        <v>354</v>
      </c>
      <c r="B119" s="216"/>
    </row>
    <row r="120" spans="1:5" x14ac:dyDescent="0.35">
      <c r="A120" s="217"/>
      <c r="B120" s="216"/>
    </row>
    <row r="121" spans="1:5" x14ac:dyDescent="0.35">
      <c r="A121" s="186" t="s">
        <v>355</v>
      </c>
      <c r="B121" s="187">
        <v>11.6</v>
      </c>
    </row>
    <row r="122" spans="1:5" x14ac:dyDescent="0.35">
      <c r="A122" s="188" t="s">
        <v>356</v>
      </c>
      <c r="B122" s="238">
        <v>19.5</v>
      </c>
    </row>
    <row r="123" spans="1:5" x14ac:dyDescent="0.35">
      <c r="A123" s="189" t="s">
        <v>357</v>
      </c>
      <c r="B123" s="190">
        <v>33.9</v>
      </c>
    </row>
    <row r="124" spans="1:5" x14ac:dyDescent="0.35">
      <c r="A124" s="188"/>
      <c r="B124" s="216"/>
    </row>
    <row r="125" spans="1:5" x14ac:dyDescent="0.35">
      <c r="A125" s="188" t="s">
        <v>358</v>
      </c>
      <c r="B125" s="218">
        <v>500000</v>
      </c>
    </row>
    <row r="126" spans="1:5" x14ac:dyDescent="0.35">
      <c r="A126" s="188" t="s">
        <v>359</v>
      </c>
      <c r="B126" s="219">
        <f>B125*B122/1000</f>
        <v>9750</v>
      </c>
    </row>
    <row r="127" spans="1:5" x14ac:dyDescent="0.35">
      <c r="A127" s="188"/>
      <c r="B127" s="216"/>
    </row>
    <row r="128" spans="1:5" x14ac:dyDescent="0.35">
      <c r="A128" s="188" t="s">
        <v>360</v>
      </c>
      <c r="B128" s="220">
        <f>1.14*1.08</f>
        <v>1.2312000000000001</v>
      </c>
    </row>
    <row r="129" spans="1:2" x14ac:dyDescent="0.35">
      <c r="A129" s="188" t="s">
        <v>361</v>
      </c>
      <c r="B129" s="221">
        <f>(0.48+0.09)</f>
        <v>0.56999999999999995</v>
      </c>
    </row>
    <row r="130" spans="1:2" x14ac:dyDescent="0.35">
      <c r="A130" s="188" t="s">
        <v>362</v>
      </c>
      <c r="B130" s="216">
        <v>4.4999999999999998E-2</v>
      </c>
    </row>
    <row r="131" spans="1:2" x14ac:dyDescent="0.35">
      <c r="A131" s="188" t="s">
        <v>363</v>
      </c>
      <c r="B131" s="190">
        <v>1.4999999999999999E-2</v>
      </c>
    </row>
    <row r="132" spans="1:2" x14ac:dyDescent="0.35">
      <c r="A132" s="188" t="s">
        <v>364</v>
      </c>
      <c r="B132" s="221">
        <f>B128*B129+B130+B131</f>
        <v>0.76178400000000002</v>
      </c>
    </row>
    <row r="133" spans="1:2" x14ac:dyDescent="0.35">
      <c r="A133" s="188"/>
      <c r="B133" s="216"/>
    </row>
    <row r="134" spans="1:2" x14ac:dyDescent="0.35">
      <c r="A134" s="188" t="s">
        <v>365</v>
      </c>
      <c r="B134" s="222">
        <f>B126*B132</f>
        <v>7427.3940000000002</v>
      </c>
    </row>
    <row r="135" spans="1:2" x14ac:dyDescent="0.35">
      <c r="A135" s="188" t="s">
        <v>366</v>
      </c>
      <c r="B135" s="232">
        <f>B134/B125</f>
        <v>1.4854788000000001E-2</v>
      </c>
    </row>
    <row r="136" spans="1:2" x14ac:dyDescent="0.35">
      <c r="A136" s="189"/>
      <c r="B136" s="190"/>
    </row>
  </sheetData>
  <conditionalFormatting sqref="F30:K30">
    <cfRule type="cellIs" dxfId="1" priority="2" operator="greaterThan">
      <formula>24</formula>
    </cfRule>
  </conditionalFormatting>
  <conditionalFormatting sqref="F30:H30">
    <cfRule type="cellIs" dxfId="0" priority="1" operator="lessThan">
      <formula>24</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A5DD6-EABF-4FC4-9E34-08AC041B69C6}">
  <dimension ref="A1:P71"/>
  <sheetViews>
    <sheetView zoomScale="90" zoomScaleNormal="90" workbookViewId="0">
      <selection activeCell="D2" sqref="D2"/>
    </sheetView>
  </sheetViews>
  <sheetFormatPr defaultColWidth="11.54296875" defaultRowHeight="14.5" x14ac:dyDescent="0.35"/>
  <cols>
    <col min="1" max="1" width="58.36328125" style="184" customWidth="1"/>
    <col min="2" max="2" width="11.54296875" style="184"/>
    <col min="3" max="3" width="4.453125" style="184" customWidth="1"/>
    <col min="4" max="4" width="62.54296875" style="184" customWidth="1"/>
    <col min="5" max="6" width="11.54296875" style="184"/>
    <col min="7" max="7" width="14.90625" style="184" customWidth="1"/>
    <col min="8" max="8" width="11.54296875" style="184"/>
    <col min="9" max="9" width="19.81640625" style="184" customWidth="1"/>
    <col min="10" max="10" width="11.08984375" style="184" customWidth="1"/>
    <col min="11" max="11" width="21.453125" style="184" customWidth="1"/>
    <col min="12" max="12" width="16.453125" style="184" customWidth="1"/>
    <col min="13" max="13" width="18.453125" style="184" customWidth="1"/>
    <col min="14" max="14" width="16.1796875" style="184" customWidth="1"/>
    <col min="15" max="15" width="34.81640625" style="184" customWidth="1"/>
    <col min="16" max="16" width="45.1796875" style="184" customWidth="1"/>
    <col min="17" max="16384" width="11.54296875" style="184"/>
  </cols>
  <sheetData>
    <row r="1" spans="1:13" ht="28.5" x14ac:dyDescent="0.65">
      <c r="A1" s="358" t="s">
        <v>451</v>
      </c>
    </row>
    <row r="2" spans="1:13" ht="21" x14ac:dyDescent="0.5">
      <c r="A2" s="223" t="s">
        <v>367</v>
      </c>
    </row>
    <row r="4" spans="1:13" ht="15.5" x14ac:dyDescent="0.35">
      <c r="A4" s="309" t="s">
        <v>368</v>
      </c>
      <c r="B4" s="225"/>
    </row>
    <row r="5" spans="1:13" ht="15.5" x14ac:dyDescent="0.35">
      <c r="A5" s="309" t="s">
        <v>369</v>
      </c>
      <c r="B5" s="226"/>
    </row>
    <row r="6" spans="1:13" ht="18.5" x14ac:dyDescent="0.45">
      <c r="A6" s="310" t="s">
        <v>212</v>
      </c>
      <c r="D6" s="191" t="s">
        <v>370</v>
      </c>
      <c r="E6" s="191" t="s">
        <v>371</v>
      </c>
    </row>
    <row r="7" spans="1:13" ht="18.5" x14ac:dyDescent="0.45">
      <c r="A7" s="311" t="s">
        <v>372</v>
      </c>
      <c r="B7" s="193"/>
      <c r="D7" s="264"/>
      <c r="E7" s="264"/>
      <c r="F7" s="267"/>
      <c r="G7" s="267"/>
      <c r="H7" s="267"/>
      <c r="I7" s="267"/>
      <c r="J7" s="312"/>
      <c r="K7" s="267"/>
      <c r="L7" s="313"/>
      <c r="M7" s="314"/>
    </row>
    <row r="8" spans="1:13" x14ac:dyDescent="0.35">
      <c r="A8" s="195"/>
      <c r="B8" s="194"/>
      <c r="D8" s="195"/>
      <c r="E8" s="195"/>
      <c r="J8" s="315"/>
      <c r="L8" s="316"/>
      <c r="M8" s="314"/>
    </row>
    <row r="9" spans="1:13" x14ac:dyDescent="0.35">
      <c r="A9" s="295" t="s">
        <v>373</v>
      </c>
      <c r="B9" s="194"/>
      <c r="D9" s="195"/>
      <c r="E9" s="195"/>
      <c r="J9" s="315"/>
      <c r="L9" s="316"/>
      <c r="M9" s="314"/>
    </row>
    <row r="10" spans="1:13" x14ac:dyDescent="0.35">
      <c r="A10" s="195" t="s">
        <v>374</v>
      </c>
      <c r="B10" s="227">
        <v>102000</v>
      </c>
      <c r="D10" s="195" t="s">
        <v>375</v>
      </c>
      <c r="E10" s="195" t="s">
        <v>376</v>
      </c>
      <c r="J10" s="315"/>
      <c r="L10" s="194"/>
      <c r="M10" s="314"/>
    </row>
    <row r="11" spans="1:13" x14ac:dyDescent="0.35">
      <c r="A11" s="195" t="s">
        <v>377</v>
      </c>
      <c r="B11" s="227">
        <v>124000</v>
      </c>
      <c r="D11" s="195"/>
      <c r="E11" s="195"/>
      <c r="J11" s="315"/>
      <c r="L11" s="316"/>
      <c r="M11" s="314"/>
    </row>
    <row r="12" spans="1:13" x14ac:dyDescent="0.35">
      <c r="A12" s="195" t="s">
        <v>378</v>
      </c>
      <c r="B12" s="194">
        <f>B10+B11</f>
        <v>226000</v>
      </c>
      <c r="D12" s="195"/>
      <c r="E12" s="195"/>
      <c r="J12" s="315"/>
      <c r="L12" s="316"/>
      <c r="M12" s="314"/>
    </row>
    <row r="13" spans="1:13" x14ac:dyDescent="0.35">
      <c r="A13" s="195" t="s">
        <v>379</v>
      </c>
      <c r="B13" s="199">
        <f>B12/35.3</f>
        <v>6402.2662889518415</v>
      </c>
      <c r="D13" s="195"/>
      <c r="E13" s="195"/>
      <c r="J13" s="315"/>
      <c r="L13" s="316"/>
      <c r="M13" s="314"/>
    </row>
    <row r="14" spans="1:13" x14ac:dyDescent="0.35">
      <c r="A14" s="195"/>
      <c r="B14" s="194"/>
      <c r="D14" s="195"/>
      <c r="E14" s="195"/>
      <c r="F14" s="317"/>
      <c r="J14" s="315"/>
      <c r="L14" s="194"/>
      <c r="M14" s="314"/>
    </row>
    <row r="15" spans="1:13" x14ac:dyDescent="0.35">
      <c r="A15" s="195" t="s">
        <v>380</v>
      </c>
      <c r="B15" s="228">
        <v>0.53</v>
      </c>
      <c r="D15" s="195" t="s">
        <v>381</v>
      </c>
      <c r="E15" s="195" t="s">
        <v>382</v>
      </c>
      <c r="G15" s="315"/>
      <c r="J15" s="315"/>
      <c r="L15" s="318"/>
      <c r="M15" s="314"/>
    </row>
    <row r="16" spans="1:13" x14ac:dyDescent="0.35">
      <c r="A16" s="195" t="s">
        <v>383</v>
      </c>
      <c r="B16" s="199">
        <f>B13*B15</f>
        <v>3393.201133144476</v>
      </c>
      <c r="D16" s="195"/>
      <c r="E16" s="195"/>
      <c r="G16" s="315"/>
      <c r="J16" s="315"/>
      <c r="L16" s="318"/>
      <c r="M16" s="314"/>
    </row>
    <row r="17" spans="1:14" x14ac:dyDescent="0.35">
      <c r="A17" s="196" t="s">
        <v>384</v>
      </c>
      <c r="B17" s="229">
        <v>0.2</v>
      </c>
      <c r="D17" s="196" t="s">
        <v>385</v>
      </c>
      <c r="E17" s="196" t="s">
        <v>386</v>
      </c>
      <c r="F17" s="244"/>
      <c r="G17" s="319"/>
      <c r="H17" s="244"/>
      <c r="I17" s="244"/>
      <c r="J17" s="319"/>
      <c r="K17" s="320"/>
      <c r="L17" s="321"/>
      <c r="M17" s="314"/>
    </row>
    <row r="18" spans="1:14" x14ac:dyDescent="0.35">
      <c r="A18" s="322" t="s">
        <v>387</v>
      </c>
      <c r="B18" s="323">
        <f>B16*(1+B17)</f>
        <v>4071.8413597733711</v>
      </c>
      <c r="G18" s="315"/>
      <c r="N18" s="324"/>
    </row>
    <row r="19" spans="1:14" x14ac:dyDescent="0.35">
      <c r="G19" s="315"/>
      <c r="J19" s="315"/>
      <c r="K19" s="324"/>
      <c r="L19" s="315"/>
      <c r="M19" s="314"/>
      <c r="N19" s="324"/>
    </row>
    <row r="20" spans="1:14" ht="18.5" x14ac:dyDescent="0.45">
      <c r="A20" s="311" t="s">
        <v>388</v>
      </c>
      <c r="B20" s="193"/>
      <c r="D20" s="264"/>
      <c r="E20" s="264"/>
      <c r="F20" s="267"/>
      <c r="G20" s="312"/>
      <c r="H20" s="267"/>
      <c r="I20" s="267"/>
      <c r="J20" s="325"/>
      <c r="K20" s="325"/>
      <c r="L20" s="326"/>
      <c r="M20" s="324"/>
    </row>
    <row r="21" spans="1:14" x14ac:dyDescent="0.35">
      <c r="A21" s="295"/>
      <c r="B21" s="194"/>
      <c r="D21" s="195"/>
      <c r="E21" s="195"/>
      <c r="G21" s="315"/>
      <c r="L21" s="194"/>
    </row>
    <row r="22" spans="1:14" x14ac:dyDescent="0.35">
      <c r="A22" s="295" t="s">
        <v>389</v>
      </c>
      <c r="B22" s="194"/>
      <c r="D22" s="195"/>
      <c r="E22" s="195"/>
      <c r="G22" s="315"/>
      <c r="L22" s="194"/>
    </row>
    <row r="23" spans="1:14" x14ac:dyDescent="0.35">
      <c r="A23" s="195" t="s">
        <v>390</v>
      </c>
      <c r="B23" s="227">
        <v>432</v>
      </c>
      <c r="D23" s="327" t="s">
        <v>391</v>
      </c>
      <c r="E23" s="328" t="s">
        <v>392</v>
      </c>
      <c r="F23" s="67"/>
      <c r="G23" s="315"/>
      <c r="H23" s="67"/>
      <c r="I23" s="67"/>
      <c r="J23" s="67"/>
      <c r="K23" s="67"/>
      <c r="L23" s="194"/>
    </row>
    <row r="24" spans="1:14" x14ac:dyDescent="0.35">
      <c r="A24" s="195" t="s">
        <v>393</v>
      </c>
      <c r="B24" s="227">
        <v>432</v>
      </c>
      <c r="D24" s="195" t="s">
        <v>394</v>
      </c>
      <c r="E24" s="329" t="s">
        <v>395</v>
      </c>
      <c r="G24" s="315"/>
      <c r="J24" s="185"/>
      <c r="K24" s="324"/>
      <c r="L24" s="194"/>
    </row>
    <row r="25" spans="1:14" x14ac:dyDescent="0.35">
      <c r="A25" s="195" t="s">
        <v>396</v>
      </c>
      <c r="B25" s="194">
        <f>B28</f>
        <v>12</v>
      </c>
      <c r="E25" s="195" t="s">
        <v>397</v>
      </c>
      <c r="G25" s="315"/>
      <c r="L25" s="194"/>
    </row>
    <row r="26" spans="1:14" x14ac:dyDescent="0.35">
      <c r="A26" s="195" t="s">
        <v>398</v>
      </c>
      <c r="B26" s="194">
        <f>B29</f>
        <v>2</v>
      </c>
      <c r="E26" s="328" t="s">
        <v>399</v>
      </c>
      <c r="F26" s="67"/>
      <c r="G26" s="315"/>
      <c r="H26" s="67"/>
      <c r="I26" s="67"/>
      <c r="J26" s="67"/>
      <c r="K26" s="67"/>
      <c r="L26" s="194"/>
    </row>
    <row r="27" spans="1:14" x14ac:dyDescent="0.35">
      <c r="A27" s="195" t="s">
        <v>400</v>
      </c>
      <c r="B27" s="227">
        <v>170</v>
      </c>
      <c r="D27" s="195" t="s">
        <v>401</v>
      </c>
      <c r="E27" s="195" t="s">
        <v>402</v>
      </c>
      <c r="G27" s="315"/>
      <c r="J27" s="182"/>
      <c r="K27" s="324"/>
      <c r="L27" s="194"/>
    </row>
    <row r="28" spans="1:14" x14ac:dyDescent="0.35">
      <c r="A28" s="195" t="s">
        <v>403</v>
      </c>
      <c r="B28" s="227">
        <v>12</v>
      </c>
      <c r="D28" s="195" t="s">
        <v>404</v>
      </c>
      <c r="E28" s="195"/>
      <c r="G28" s="315"/>
      <c r="J28" s="182"/>
      <c r="K28" s="324"/>
      <c r="L28" s="194"/>
    </row>
    <row r="29" spans="1:14" x14ac:dyDescent="0.35">
      <c r="A29" s="195" t="s">
        <v>405</v>
      </c>
      <c r="B29" s="227">
        <v>2</v>
      </c>
      <c r="D29" s="195" t="s">
        <v>406</v>
      </c>
      <c r="E29" s="195"/>
      <c r="G29" s="315"/>
      <c r="J29" s="182"/>
      <c r="K29" s="324"/>
      <c r="L29" s="194"/>
    </row>
    <row r="30" spans="1:14" x14ac:dyDescent="0.35">
      <c r="A30" s="195" t="s">
        <v>407</v>
      </c>
      <c r="B30" s="227">
        <v>200</v>
      </c>
      <c r="D30" s="195" t="s">
        <v>408</v>
      </c>
      <c r="E30" s="195" t="s">
        <v>402</v>
      </c>
      <c r="G30" s="315"/>
      <c r="J30" s="182"/>
      <c r="K30" s="324"/>
      <c r="L30" s="194"/>
    </row>
    <row r="31" spans="1:14" x14ac:dyDescent="0.35">
      <c r="A31" s="195" t="s">
        <v>409</v>
      </c>
      <c r="B31" s="227">
        <v>0</v>
      </c>
      <c r="D31" s="195" t="s">
        <v>410</v>
      </c>
      <c r="E31" s="195" t="s">
        <v>411</v>
      </c>
      <c r="G31" s="315"/>
      <c r="J31" s="182"/>
      <c r="K31" s="324"/>
      <c r="L31" s="194"/>
    </row>
    <row r="32" spans="1:14" x14ac:dyDescent="0.35">
      <c r="A32" s="195"/>
      <c r="B32" s="194"/>
      <c r="D32" s="195"/>
      <c r="E32" s="195"/>
      <c r="G32" s="315"/>
      <c r="J32" s="182"/>
      <c r="K32" s="324"/>
      <c r="L32" s="194"/>
    </row>
    <row r="33" spans="1:16" x14ac:dyDescent="0.35">
      <c r="A33" s="295" t="s">
        <v>412</v>
      </c>
      <c r="B33" s="194"/>
      <c r="D33" s="195"/>
      <c r="E33" s="195"/>
      <c r="G33" s="315"/>
      <c r="J33" s="182"/>
      <c r="K33" s="324"/>
      <c r="L33" s="194"/>
    </row>
    <row r="34" spans="1:16" x14ac:dyDescent="0.35">
      <c r="A34" s="195" t="s">
        <v>413</v>
      </c>
      <c r="B34" s="303">
        <f>B23/B25</f>
        <v>36</v>
      </c>
      <c r="D34" s="195"/>
      <c r="E34" s="195"/>
      <c r="G34" s="315"/>
      <c r="J34" s="182"/>
      <c r="K34" s="324"/>
      <c r="L34" s="194"/>
    </row>
    <row r="35" spans="1:16" x14ac:dyDescent="0.35">
      <c r="A35" s="195" t="s">
        <v>414</v>
      </c>
      <c r="B35" s="303">
        <f>(B26+B18/B27)+(B31/2)</f>
        <v>25.95200799866689</v>
      </c>
      <c r="D35" s="195"/>
      <c r="E35" s="195"/>
      <c r="G35" s="315"/>
      <c r="J35" s="182"/>
      <c r="K35" s="324"/>
      <c r="L35" s="194"/>
    </row>
    <row r="36" spans="1:16" x14ac:dyDescent="0.35">
      <c r="A36" s="195" t="s">
        <v>415</v>
      </c>
      <c r="B36" s="303">
        <f>(B24/B28)+(B31/2)</f>
        <v>36</v>
      </c>
      <c r="D36" s="195"/>
      <c r="E36" s="195"/>
      <c r="G36" s="315"/>
      <c r="L36" s="194"/>
    </row>
    <row r="37" spans="1:16" x14ac:dyDescent="0.35">
      <c r="A37" s="195" t="s">
        <v>416</v>
      </c>
      <c r="B37" s="330">
        <f>B29+B18/B30</f>
        <v>22.359206798866854</v>
      </c>
      <c r="D37" s="196"/>
      <c r="E37" s="196"/>
      <c r="F37" s="244"/>
      <c r="G37" s="319"/>
      <c r="H37" s="244"/>
      <c r="I37" s="244"/>
      <c r="J37" s="244"/>
      <c r="K37" s="244"/>
      <c r="L37" s="197"/>
    </row>
    <row r="38" spans="1:16" x14ac:dyDescent="0.35">
      <c r="A38" s="331" t="s">
        <v>417</v>
      </c>
      <c r="B38" s="332">
        <f>SUM(B34:B37)</f>
        <v>120.31121479753374</v>
      </c>
      <c r="G38" s="315"/>
    </row>
    <row r="39" spans="1:16" x14ac:dyDescent="0.35">
      <c r="A39" s="195" t="s">
        <v>418</v>
      </c>
      <c r="B39" s="333">
        <f>B38/24</f>
        <v>5.0129672832305721</v>
      </c>
      <c r="G39" s="315"/>
    </row>
    <row r="40" spans="1:16" x14ac:dyDescent="0.35">
      <c r="A40" s="195"/>
      <c r="B40" s="194"/>
      <c r="G40" s="315"/>
    </row>
    <row r="41" spans="1:16" x14ac:dyDescent="0.35">
      <c r="A41" s="195" t="s">
        <v>419</v>
      </c>
      <c r="B41" s="334">
        <f>(B34+B36)/24</f>
        <v>3</v>
      </c>
      <c r="G41" s="315"/>
    </row>
    <row r="42" spans="1:16" x14ac:dyDescent="0.35">
      <c r="A42" s="196" t="s">
        <v>420</v>
      </c>
      <c r="B42" s="335">
        <f>(B35+B37)/24</f>
        <v>2.0129672832305725</v>
      </c>
      <c r="G42" s="315"/>
      <c r="J42" s="67"/>
      <c r="K42" s="67"/>
      <c r="L42" s="336"/>
      <c r="M42" s="336"/>
      <c r="N42" s="336"/>
      <c r="O42" s="67"/>
      <c r="P42" s="67"/>
    </row>
    <row r="43" spans="1:16" x14ac:dyDescent="0.35">
      <c r="G43" s="315"/>
      <c r="J43" s="67"/>
      <c r="K43" s="67"/>
      <c r="L43" s="67"/>
      <c r="M43" s="67"/>
      <c r="N43" s="67"/>
      <c r="O43" s="67"/>
      <c r="P43" s="337"/>
    </row>
    <row r="44" spans="1:16" ht="15.5" x14ac:dyDescent="0.35">
      <c r="A44" s="338" t="s">
        <v>270</v>
      </c>
      <c r="B44" s="193"/>
      <c r="D44" s="264"/>
      <c r="E44" s="264"/>
      <c r="F44" s="267"/>
      <c r="G44" s="312"/>
      <c r="H44" s="267"/>
      <c r="I44" s="267"/>
      <c r="J44" s="339"/>
      <c r="K44" s="339"/>
      <c r="L44" s="340"/>
      <c r="M44" s="67"/>
      <c r="N44" s="67"/>
      <c r="O44" s="67"/>
      <c r="P44" s="337"/>
    </row>
    <row r="45" spans="1:16" x14ac:dyDescent="0.35">
      <c r="A45" s="195"/>
      <c r="B45" s="194"/>
      <c r="D45" s="195"/>
      <c r="E45" s="195"/>
      <c r="G45" s="315"/>
      <c r="J45" s="67"/>
      <c r="K45" s="67"/>
      <c r="L45" s="341"/>
      <c r="M45" s="67"/>
      <c r="N45" s="67"/>
      <c r="O45" s="67"/>
      <c r="P45" s="337"/>
    </row>
    <row r="46" spans="1:16" x14ac:dyDescent="0.35">
      <c r="A46" s="295" t="s">
        <v>421</v>
      </c>
      <c r="B46" s="194"/>
      <c r="D46" s="195"/>
      <c r="E46" s="195"/>
      <c r="G46" s="315"/>
      <c r="J46" s="67"/>
      <c r="K46" s="67"/>
      <c r="L46" s="341"/>
      <c r="M46" s="67"/>
      <c r="N46" s="67"/>
      <c r="O46" s="67"/>
      <c r="P46" s="337"/>
    </row>
    <row r="47" spans="1:16" ht="16.5" x14ac:dyDescent="0.45">
      <c r="A47" s="195" t="s">
        <v>422</v>
      </c>
      <c r="B47" s="342">
        <v>3500</v>
      </c>
      <c r="D47" s="327" t="s">
        <v>423</v>
      </c>
      <c r="E47" s="195" t="s">
        <v>424</v>
      </c>
      <c r="G47" s="315"/>
      <c r="J47" s="67"/>
      <c r="K47" s="67"/>
      <c r="L47" s="341"/>
      <c r="M47" s="67"/>
      <c r="N47" s="67"/>
      <c r="O47" s="67"/>
      <c r="P47" s="337"/>
    </row>
    <row r="48" spans="1:16" x14ac:dyDescent="0.35">
      <c r="A48" s="195" t="s">
        <v>425</v>
      </c>
      <c r="B48" s="227">
        <v>450</v>
      </c>
      <c r="D48" s="195" t="s">
        <v>426</v>
      </c>
      <c r="E48" s="195" t="s">
        <v>427</v>
      </c>
      <c r="G48" s="315"/>
      <c r="J48" s="67"/>
      <c r="K48" s="67"/>
      <c r="L48" s="341"/>
      <c r="M48" s="67"/>
      <c r="N48" s="67"/>
      <c r="O48" s="67"/>
      <c r="P48" s="337"/>
    </row>
    <row r="49" spans="1:16" x14ac:dyDescent="0.35">
      <c r="A49" s="195" t="s">
        <v>428</v>
      </c>
      <c r="B49" s="227">
        <v>550</v>
      </c>
      <c r="D49" s="195" t="s">
        <v>429</v>
      </c>
      <c r="E49" s="195" t="s">
        <v>430</v>
      </c>
      <c r="G49" s="315"/>
      <c r="J49" s="67"/>
      <c r="K49" s="67"/>
      <c r="L49" s="341"/>
      <c r="M49" s="67"/>
      <c r="N49" s="67"/>
      <c r="O49" s="67"/>
      <c r="P49" s="337"/>
    </row>
    <row r="50" spans="1:16" x14ac:dyDescent="0.35">
      <c r="A50" s="195" t="s">
        <v>431</v>
      </c>
      <c r="B50" s="342">
        <v>4000</v>
      </c>
      <c r="D50" s="195" t="s">
        <v>432</v>
      </c>
      <c r="E50" s="195" t="s">
        <v>433</v>
      </c>
      <c r="G50" s="315"/>
      <c r="J50" s="67"/>
      <c r="K50" s="67"/>
      <c r="L50" s="341"/>
      <c r="M50" s="67"/>
      <c r="N50" s="67"/>
      <c r="O50" s="67"/>
      <c r="P50" s="337"/>
    </row>
    <row r="51" spans="1:16" x14ac:dyDescent="0.35">
      <c r="A51" s="195" t="s">
        <v>434</v>
      </c>
      <c r="B51" s="342">
        <v>4000</v>
      </c>
      <c r="D51" s="195"/>
      <c r="E51" s="195"/>
      <c r="G51" s="315"/>
      <c r="J51" s="67"/>
      <c r="K51" s="67"/>
      <c r="L51" s="341"/>
      <c r="M51" s="67"/>
      <c r="N51" s="67"/>
      <c r="O51" s="67"/>
      <c r="P51" s="337"/>
    </row>
    <row r="52" spans="1:16" x14ac:dyDescent="0.35">
      <c r="A52" s="195"/>
      <c r="B52" s="194"/>
      <c r="D52" s="195"/>
      <c r="E52" s="195"/>
      <c r="G52" s="315"/>
      <c r="J52" s="67"/>
      <c r="K52" s="67"/>
      <c r="L52" s="343"/>
      <c r="M52" s="336"/>
      <c r="N52" s="336"/>
      <c r="O52" s="67"/>
      <c r="P52" s="336"/>
    </row>
    <row r="53" spans="1:16" x14ac:dyDescent="0.35">
      <c r="A53" s="195" t="s">
        <v>435</v>
      </c>
      <c r="B53" s="344">
        <v>11.5</v>
      </c>
      <c r="D53" s="345" t="s">
        <v>436</v>
      </c>
      <c r="E53" s="195" t="s">
        <v>437</v>
      </c>
      <c r="G53" s="315"/>
      <c r="J53" s="67"/>
      <c r="K53" s="67"/>
      <c r="L53" s="343"/>
      <c r="M53" s="336"/>
      <c r="N53" s="336"/>
      <c r="O53" s="67"/>
      <c r="P53" s="67"/>
    </row>
    <row r="54" spans="1:16" x14ac:dyDescent="0.35">
      <c r="A54" s="195" t="s">
        <v>438</v>
      </c>
      <c r="B54" s="194">
        <v>1</v>
      </c>
      <c r="D54" s="195"/>
      <c r="E54" s="195"/>
      <c r="G54" s="315"/>
      <c r="J54" s="67"/>
      <c r="K54" s="67"/>
      <c r="L54" s="341"/>
      <c r="M54" s="67"/>
      <c r="N54" s="67"/>
      <c r="O54" s="67"/>
      <c r="P54" s="337"/>
    </row>
    <row r="55" spans="1:16" x14ac:dyDescent="0.35">
      <c r="A55" s="195"/>
      <c r="B55" s="194"/>
      <c r="D55" s="195"/>
      <c r="E55" s="195"/>
      <c r="G55" s="315"/>
      <c r="J55" s="67"/>
      <c r="K55" s="67"/>
      <c r="L55" s="341"/>
      <c r="M55" s="67"/>
      <c r="N55" s="67"/>
      <c r="O55" s="67"/>
      <c r="P55" s="337"/>
    </row>
    <row r="56" spans="1:16" x14ac:dyDescent="0.35">
      <c r="A56" s="295" t="s">
        <v>439</v>
      </c>
      <c r="B56" s="194"/>
      <c r="D56" s="195"/>
      <c r="E56" s="195"/>
      <c r="G56" s="315"/>
      <c r="J56" s="67"/>
      <c r="K56" s="67"/>
      <c r="L56" s="341"/>
      <c r="M56" s="67"/>
      <c r="N56" s="67"/>
      <c r="O56" s="67"/>
      <c r="P56" s="337"/>
    </row>
    <row r="57" spans="1:16" x14ac:dyDescent="0.35">
      <c r="A57" s="195" t="s">
        <v>440</v>
      </c>
      <c r="B57" s="203">
        <f>B39*B47</f>
        <v>17545.385491307003</v>
      </c>
      <c r="D57" s="195"/>
      <c r="E57" s="195"/>
      <c r="G57" s="315"/>
      <c r="J57" s="67"/>
      <c r="K57" s="67"/>
      <c r="L57" s="341"/>
      <c r="M57" s="67"/>
      <c r="N57" s="67"/>
      <c r="O57" s="67"/>
      <c r="P57" s="337"/>
    </row>
    <row r="58" spans="1:16" x14ac:dyDescent="0.35">
      <c r="A58" s="195" t="s">
        <v>441</v>
      </c>
      <c r="B58" s="203">
        <f>B41*B53*B48</f>
        <v>15525</v>
      </c>
      <c r="D58" s="195"/>
      <c r="E58" s="195"/>
      <c r="G58" s="315"/>
      <c r="J58" s="67"/>
      <c r="K58" s="67"/>
      <c r="L58" s="341"/>
      <c r="M58" s="67"/>
      <c r="N58" s="67"/>
      <c r="O58" s="67"/>
      <c r="P58" s="337"/>
    </row>
    <row r="59" spans="1:16" x14ac:dyDescent="0.35">
      <c r="A59" s="195" t="s">
        <v>442</v>
      </c>
      <c r="B59" s="203">
        <f>B42*B54*B49</f>
        <v>1107.1320057768148</v>
      </c>
      <c r="D59" s="195"/>
      <c r="E59" s="195"/>
      <c r="G59" s="315"/>
      <c r="J59" s="67"/>
      <c r="K59" s="67"/>
      <c r="L59" s="341"/>
      <c r="M59" s="67"/>
      <c r="N59" s="67"/>
      <c r="O59" s="67"/>
      <c r="P59" s="337"/>
    </row>
    <row r="60" spans="1:16" x14ac:dyDescent="0.35">
      <c r="A60" s="195" t="s">
        <v>443</v>
      </c>
      <c r="B60" s="203">
        <f>B50+B51</f>
        <v>8000</v>
      </c>
      <c r="D60" s="196"/>
      <c r="E60" s="196"/>
      <c r="F60" s="244"/>
      <c r="G60" s="319"/>
      <c r="H60" s="244"/>
      <c r="I60" s="244"/>
      <c r="J60" s="346"/>
      <c r="K60" s="346"/>
      <c r="L60" s="347"/>
      <c r="M60" s="67"/>
      <c r="N60" s="67"/>
      <c r="O60" s="67"/>
      <c r="P60" s="337"/>
    </row>
    <row r="61" spans="1:16" ht="21" x14ac:dyDescent="0.5">
      <c r="A61" s="348" t="s">
        <v>444</v>
      </c>
      <c r="B61" s="349">
        <f>SUM(B57:B60)</f>
        <v>42177.51749708382</v>
      </c>
      <c r="G61" s="315"/>
      <c r="J61" s="67"/>
      <c r="K61" s="67"/>
      <c r="L61" s="67"/>
      <c r="M61" s="67"/>
      <c r="N61" s="67"/>
      <c r="O61" s="67"/>
      <c r="P61" s="337"/>
    </row>
    <row r="62" spans="1:16" ht="21" x14ac:dyDescent="0.5">
      <c r="A62" s="350" t="s">
        <v>445</v>
      </c>
      <c r="B62" s="351">
        <f>B61/B18</f>
        <v>10.358340065446784</v>
      </c>
      <c r="D62" s="191" t="s">
        <v>446</v>
      </c>
      <c r="G62" s="315"/>
      <c r="J62" s="67"/>
      <c r="K62" s="67"/>
      <c r="L62" s="67"/>
      <c r="M62" s="67"/>
      <c r="N62" s="67"/>
      <c r="O62" s="67"/>
      <c r="P62" s="337"/>
    </row>
    <row r="63" spans="1:16" ht="15.5" x14ac:dyDescent="0.35">
      <c r="A63" s="352" t="s">
        <v>447</v>
      </c>
      <c r="B63" s="353">
        <f>B62/(B24*(1/0.54))</f>
        <v>1.2947925081808483E-2</v>
      </c>
      <c r="P63" s="314"/>
    </row>
    <row r="64" spans="1:16" ht="15.5" x14ac:dyDescent="0.35">
      <c r="A64" s="352" t="s">
        <v>448</v>
      </c>
      <c r="B64" s="354">
        <v>0.91</v>
      </c>
    </row>
    <row r="65" spans="1:2" ht="15.5" x14ac:dyDescent="0.35">
      <c r="A65" s="355" t="s">
        <v>449</v>
      </c>
      <c r="B65" s="356">
        <f>B63/B64</f>
        <v>1.4228489100888442E-2</v>
      </c>
    </row>
    <row r="66" spans="1:2" ht="23.5" x14ac:dyDescent="0.55000000000000004">
      <c r="A66" s="357"/>
    </row>
    <row r="71" spans="1:2" x14ac:dyDescent="0.35">
      <c r="A71" s="6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Introduction</vt:lpstr>
      <vt:lpstr>A. Road; average distance</vt:lpstr>
      <vt:lpstr>B1. Road; distance distribution</vt:lpstr>
      <vt:lpstr>B2. Road; distance distribution</vt:lpstr>
      <vt:lpstr>C. Rail</vt:lpstr>
      <vt:lpstr>D. Shipping</vt:lpstr>
    </vt:vector>
  </TitlesOfParts>
  <Company>LUKE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Väätäinen Kari</dc:creator>
  <cp:lastModifiedBy>Hofsten Henrik von</cp:lastModifiedBy>
  <dcterms:created xsi:type="dcterms:W3CDTF">2020-01-07T08:23:37Z</dcterms:created>
  <dcterms:modified xsi:type="dcterms:W3CDTF">2021-06-11T08:33:53Z</dcterms:modified>
</cp:coreProperties>
</file>